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PERATIONS\Payroll\Usable Forms\"/>
    </mc:Choice>
  </mc:AlternateContent>
  <xr:revisionPtr revIDLastSave="0" documentId="13_ncr:1_{66537DAE-2B2D-4346-9763-99C33391AC26}" xr6:coauthVersionLast="47" xr6:coauthVersionMax="47" xr10:uidLastSave="{00000000-0000-0000-0000-000000000000}"/>
  <bookViews>
    <workbookView xWindow="11490" yWindow="1845" windowWidth="24915" windowHeight="15735" xr2:uid="{00000000-000D-0000-FFFF-FFFF00000000}"/>
  </bookViews>
  <sheets>
    <sheet name="Pay Calc Old W4" sheetId="1" r:id="rId1"/>
    <sheet name="Pay Calc New W4" sheetId="2" r:id="rId2"/>
  </sheets>
  <externalReferences>
    <externalReference r:id="rId3"/>
  </externalReferences>
  <definedNames>
    <definedName name="FEDERAL_J_Single__A_Married__H_HOH">'Pay Calc New W4'!$C$14</definedName>
    <definedName name="GRW">'Pay Calc Old W4'!$G$5</definedName>
    <definedName name="LookupRetirement">'Pay Calc Old W4'!$W$2:$X$10</definedName>
    <definedName name="_xlnm.Print_Area" localSheetId="1">'Pay Calc New W4'!$A$1:$G$45</definedName>
    <definedName name="_xlnm.Print_Area" localSheetId="0">'Pay Calc Old W4'!$B$1:$G$40</definedName>
    <definedName name="Print_Area_MI">'Pay Calc Old W4'!$B$1:$H$29</definedName>
    <definedName name="rRetirement">[1]Worksheet!$D$9</definedName>
    <definedName name="TS">'Pay Calc Old W4'!$C$18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2" l="1"/>
  <c r="I49" i="2"/>
  <c r="I47" i="2"/>
  <c r="I48" i="2" s="1"/>
  <c r="I45" i="2"/>
  <c r="H38" i="2"/>
  <c r="H36" i="2"/>
  <c r="H35" i="2"/>
  <c r="H37" i="2" s="1"/>
  <c r="I38" i="2" s="1"/>
  <c r="H33" i="2"/>
  <c r="H32" i="2"/>
  <c r="I33" i="2" s="1"/>
  <c r="H31" i="2"/>
  <c r="I31" i="2" s="1"/>
  <c r="H30" i="2"/>
  <c r="C25" i="2"/>
  <c r="I20" i="2"/>
  <c r="I56" i="2" s="1"/>
  <c r="G16" i="2"/>
  <c r="G15" i="2"/>
  <c r="I14" i="2"/>
  <c r="G14" i="2"/>
  <c r="I12" i="2"/>
  <c r="I13" i="2" s="1"/>
  <c r="I6" i="2"/>
  <c r="G5" i="2"/>
  <c r="G8" i="2" s="1"/>
  <c r="G13" i="2" l="1"/>
  <c r="G22" i="2" s="1"/>
  <c r="L20" i="2"/>
  <c r="J19" i="2"/>
  <c r="K17" i="2"/>
  <c r="L14" i="2"/>
  <c r="J13" i="2"/>
  <c r="K21" i="2"/>
  <c r="L18" i="2"/>
  <c r="M20" i="2"/>
  <c r="L17" i="2"/>
  <c r="M21" i="2"/>
  <c r="K20" i="2"/>
  <c r="J17" i="2"/>
  <c r="M15" i="2"/>
  <c r="K14" i="2"/>
  <c r="K19" i="2"/>
  <c r="J16" i="2"/>
  <c r="L21" i="2"/>
  <c r="J20" i="2"/>
  <c r="M18" i="2"/>
  <c r="L15" i="2"/>
  <c r="J14" i="2"/>
  <c r="K15" i="2"/>
  <c r="K22" i="2"/>
  <c r="M17" i="2"/>
  <c r="J22" i="2"/>
  <c r="M14" i="2"/>
  <c r="K16" i="2"/>
  <c r="M22" i="2"/>
  <c r="J21" i="2"/>
  <c r="K18" i="2"/>
  <c r="M16" i="2"/>
  <c r="J15" i="2"/>
  <c r="J18" i="2"/>
  <c r="L16" i="2"/>
  <c r="M13" i="2"/>
  <c r="L19" i="2"/>
  <c r="L13" i="2"/>
  <c r="K13" i="2"/>
  <c r="L22" i="2"/>
  <c r="M19" i="2"/>
  <c r="M52" i="2"/>
  <c r="J51" i="2"/>
  <c r="L49" i="2"/>
  <c r="K46" i="2"/>
  <c r="J52" i="2"/>
  <c r="M49" i="2"/>
  <c r="L52" i="2"/>
  <c r="K49" i="2"/>
  <c r="M47" i="2"/>
  <c r="J46" i="2"/>
  <c r="M53" i="2"/>
  <c r="K47" i="2"/>
  <c r="L46" i="2"/>
  <c r="K52" i="2"/>
  <c r="M50" i="2"/>
  <c r="J49" i="2"/>
  <c r="L47" i="2"/>
  <c r="M45" i="2"/>
  <c r="L50" i="2"/>
  <c r="L45" i="2"/>
  <c r="J48" i="2"/>
  <c r="L53" i="2"/>
  <c r="K50" i="2"/>
  <c r="M48" i="2"/>
  <c r="J47" i="2"/>
  <c r="K45" i="2"/>
  <c r="J53" i="2"/>
  <c r="L51" i="2"/>
  <c r="K48" i="2"/>
  <c r="M46" i="2"/>
  <c r="K51" i="2"/>
  <c r="K53" i="2"/>
  <c r="M51" i="2"/>
  <c r="J50" i="2"/>
  <c r="L48" i="2"/>
  <c r="J45" i="2"/>
  <c r="I36" i="2"/>
  <c r="G7" i="2"/>
  <c r="I17" i="2" l="1"/>
  <c r="G6" i="2"/>
  <c r="G20" i="2"/>
  <c r="G12" i="2"/>
  <c r="G11" i="2"/>
  <c r="G21" i="2"/>
  <c r="I51" i="2" l="1"/>
  <c r="I53" i="2" s="1"/>
  <c r="I50" i="2" s="1"/>
  <c r="G10" i="2" s="1"/>
  <c r="I19" i="2"/>
  <c r="I21" i="2" s="1"/>
  <c r="I15" i="2" s="1"/>
  <c r="I57" i="2" s="1"/>
  <c r="I58" i="2" s="1"/>
  <c r="G9" i="2" s="1"/>
  <c r="G17" i="2" l="1"/>
  <c r="I47" i="1"/>
  <c r="I44" i="1" s="1"/>
  <c r="I42" i="1"/>
  <c r="I43" i="1" s="1"/>
  <c r="I40" i="1"/>
  <c r="H33" i="1"/>
  <c r="H30" i="1"/>
  <c r="H31" i="1" s="1"/>
  <c r="H28" i="1"/>
  <c r="H25" i="1"/>
  <c r="H27" i="1" s="1"/>
  <c r="I28" i="1" s="1"/>
  <c r="C20" i="1"/>
  <c r="G16" i="1"/>
  <c r="I15" i="1"/>
  <c r="G15" i="1"/>
  <c r="G14" i="1"/>
  <c r="I9" i="1"/>
  <c r="I7" i="1"/>
  <c r="I8" i="1" s="1"/>
  <c r="I5" i="1"/>
  <c r="G5" i="1"/>
  <c r="M48" i="1" l="1"/>
  <c r="J47" i="1"/>
  <c r="L45" i="1"/>
  <c r="K42" i="1"/>
  <c r="L40" i="1"/>
  <c r="K45" i="1"/>
  <c r="K48" i="1"/>
  <c r="M46" i="1"/>
  <c r="J45" i="1"/>
  <c r="L43" i="1"/>
  <c r="J40" i="1"/>
  <c r="J48" i="1"/>
  <c r="L46" i="1"/>
  <c r="K43" i="1"/>
  <c r="M41" i="1"/>
  <c r="K46" i="1"/>
  <c r="M44" i="1"/>
  <c r="J43" i="1"/>
  <c r="L41" i="1"/>
  <c r="J46" i="1"/>
  <c r="L44" i="1"/>
  <c r="L48" i="1"/>
  <c r="J42" i="1"/>
  <c r="M47" i="1"/>
  <c r="K41" i="1"/>
  <c r="L47" i="1"/>
  <c r="K44" i="1"/>
  <c r="M42" i="1"/>
  <c r="J41" i="1"/>
  <c r="K47" i="1"/>
  <c r="M45" i="1"/>
  <c r="J44" i="1"/>
  <c r="L42" i="1"/>
  <c r="M40" i="1"/>
  <c r="M43" i="1"/>
  <c r="K40" i="1"/>
  <c r="M12" i="1"/>
  <c r="L16" i="1"/>
  <c r="J15" i="1"/>
  <c r="K12" i="1"/>
  <c r="L9" i="1"/>
  <c r="J8" i="1"/>
  <c r="K16" i="1"/>
  <c r="M13" i="1"/>
  <c r="J12" i="1"/>
  <c r="M10" i="1"/>
  <c r="K9" i="1"/>
  <c r="L8" i="1"/>
  <c r="M9" i="1"/>
  <c r="M17" i="1"/>
  <c r="J16" i="1"/>
  <c r="L13" i="1"/>
  <c r="L10" i="1"/>
  <c r="J9" i="1"/>
  <c r="K13" i="1"/>
  <c r="K10" i="1"/>
  <c r="K15" i="1"/>
  <c r="J11" i="1"/>
  <c r="L17" i="1"/>
  <c r="M14" i="1"/>
  <c r="L12" i="1"/>
  <c r="K17" i="1"/>
  <c r="L14" i="1"/>
  <c r="J13" i="1"/>
  <c r="M11" i="1"/>
  <c r="J10" i="1"/>
  <c r="J17" i="1"/>
  <c r="M15" i="1"/>
  <c r="K14" i="1"/>
  <c r="L11" i="1"/>
  <c r="M8" i="1"/>
  <c r="L15" i="1"/>
  <c r="J14" i="1"/>
  <c r="K11" i="1"/>
  <c r="M16" i="1"/>
  <c r="K8" i="1"/>
  <c r="G13" i="1"/>
  <c r="I31" i="1"/>
  <c r="G7" i="1"/>
  <c r="H26" i="1"/>
  <c r="I26" i="1" s="1"/>
  <c r="H32" i="1"/>
  <c r="I33" i="1" s="1"/>
  <c r="G8" i="1"/>
  <c r="G20" i="1" l="1"/>
  <c r="G11" i="1"/>
  <c r="G21" i="1"/>
  <c r="G12" i="1"/>
  <c r="I12" i="1"/>
  <c r="G22" i="1"/>
  <c r="G6" i="1"/>
  <c r="I46" i="1" l="1"/>
  <c r="I14" i="1"/>
  <c r="I16" i="1" l="1"/>
  <c r="I10" i="1"/>
  <c r="G9" i="1" s="1"/>
  <c r="I48" i="1"/>
  <c r="I45" i="1" s="1"/>
  <c r="G10" i="1" s="1"/>
  <c r="G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Olsen, Philip</author>
    <author>Carlson, Ron</author>
  </authors>
  <commentList>
    <comment ref="I14" authorId="0" shapeId="0" xr:uid="{89AD4D76-DDF2-4901-BFF0-0331C9A30661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Withholding Allowance per pay period</t>
        </r>
      </text>
    </comment>
    <comment ref="I17" authorId="0" shapeId="0" xr:uid="{CC6A1CFE-165C-44E4-BD19-A96F2230A6A5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Retirement</t>
        </r>
      </text>
    </comment>
    <comment ref="I56" authorId="1" shapeId="0" xr:uid="{2B446444-70C5-4686-962F-2CC2E8B7D3BB}">
      <text>
        <r>
          <rPr>
            <b/>
            <sz val="9"/>
            <color indexed="81"/>
            <rFont val="Tahoma"/>
            <family val="2"/>
          </rPr>
          <t>Carlson, Ron:</t>
        </r>
        <r>
          <rPr>
            <sz val="9"/>
            <color indexed="81"/>
            <rFont val="Tahoma"/>
            <family val="2"/>
          </rPr>
          <t xml:space="preserve">
dependent credit per pay period
</t>
        </r>
      </text>
    </comment>
    <comment ref="I57" authorId="0" shapeId="0" xr:uid="{807C5F52-A96F-4174-9559-011E5506F48B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FIT Before Dependent Credit</t>
        </r>
      </text>
    </comment>
  </commentList>
</comments>
</file>

<file path=xl/sharedStrings.xml><?xml version="1.0" encoding="utf-8"?>
<sst xmlns="http://schemas.openxmlformats.org/spreadsheetml/2006/main" count="431" uniqueCount="179">
  <si>
    <t>DOCUMENTATION</t>
  </si>
  <si>
    <t>Federal</t>
  </si>
  <si>
    <t>Single</t>
  </si>
  <si>
    <t>CELL ADDRESS</t>
  </si>
  <si>
    <t>EXPLANATION</t>
  </si>
  <si>
    <t>Exemptions</t>
  </si>
  <si>
    <t>m</t>
  </si>
  <si>
    <t/>
  </si>
  <si>
    <t>A5 thru B15</t>
  </si>
  <si>
    <t xml:space="preserve">Basic information is entered in column B as directed in </t>
  </si>
  <si>
    <t>Pay Cycle</t>
  </si>
  <si>
    <t>column A.  This information is used to perform the needed</t>
  </si>
  <si>
    <t>computations.</t>
  </si>
  <si>
    <t>Marital Status</t>
  </si>
  <si>
    <t>C7 thru F8</t>
  </si>
  <si>
    <t xml:space="preserve">Retirement information is entered in columns D and F as </t>
  </si>
  <si>
    <t>FIT</t>
  </si>
  <si>
    <t>directed in columns C and E.  This identifies the amount</t>
  </si>
  <si>
    <t>y</t>
  </si>
  <si>
    <t>Married</t>
  </si>
  <si>
    <t>of wages which is not subject to taxes.</t>
  </si>
  <si>
    <t>Gross Wages</t>
  </si>
  <si>
    <t>Retirement</t>
  </si>
  <si>
    <t>G4 thru G8</t>
  </si>
  <si>
    <t xml:space="preserve">These cells compare entries for pay cycle and marital </t>
  </si>
  <si>
    <t>and</t>
  </si>
  <si>
    <t xml:space="preserve">status to constants.  Based on the comparisons, different </t>
  </si>
  <si>
    <t>SIT</t>
  </si>
  <si>
    <t>G39 thru G45</t>
  </si>
  <si>
    <t xml:space="preserve">values are placed in cell G8.  This value is used as </t>
  </si>
  <si>
    <t>explained in the next group.</t>
  </si>
  <si>
    <t>DCP</t>
  </si>
  <si>
    <t>H8 thru K16</t>
  </si>
  <si>
    <t>These cells use the value in G8 to select the correct</t>
  </si>
  <si>
    <t>value from the four tables listed in L1 thru N37.</t>
  </si>
  <si>
    <t>H40 thru k45</t>
  </si>
  <si>
    <t>G9 and G44</t>
  </si>
  <si>
    <t xml:space="preserve">This cell compares the pay cycle value to a standard to </t>
  </si>
  <si>
    <t>Deductions</t>
  </si>
  <si>
    <t>determine the proper amount to allow for each exemption.</t>
  </si>
  <si>
    <t>G10 and G45</t>
  </si>
  <si>
    <t xml:space="preserve">This cell computes taxable wages by taking total gross </t>
  </si>
  <si>
    <t xml:space="preserve">less tax-sheltered retirement less the withholding amount </t>
  </si>
  <si>
    <t>times the number of exemptions.</t>
  </si>
  <si>
    <t>G11 thru G12</t>
  </si>
  <si>
    <t>These cells determine if the retirement is tax sheltered</t>
  </si>
  <si>
    <t>and then determines the amount for use in cell G10 &amp; G45.</t>
  </si>
  <si>
    <t>State Contribution</t>
  </si>
  <si>
    <t>E11</t>
  </si>
  <si>
    <t>Comutes total gross by multiplying the values enter in</t>
  </si>
  <si>
    <t>column B.</t>
  </si>
  <si>
    <t>E14</t>
  </si>
  <si>
    <t xml:space="preserve">Computes federal tax withholding by using the table </t>
  </si>
  <si>
    <t>in cells H8 thru K16 and vlookup to identify the proper</t>
  </si>
  <si>
    <t>Other</t>
  </si>
  <si>
    <t>values to use in the formula.</t>
  </si>
  <si>
    <t>E15</t>
  </si>
  <si>
    <t>Computes state income tax withholding using cells H40 thru K45.</t>
  </si>
  <si>
    <t xml:space="preserve">State </t>
  </si>
  <si>
    <t>E16</t>
  </si>
  <si>
    <t>Computes social security using the standard percentage.</t>
  </si>
  <si>
    <t>E17</t>
  </si>
  <si>
    <t xml:space="preserve">percentage entered and adding the fixed amount. </t>
  </si>
  <si>
    <t>G23 thru H31</t>
  </si>
  <si>
    <t>Computes the proper amount to hold for garnishment.</t>
  </si>
  <si>
    <t>G23-H26 is for biweekly and G28-H31 is for monthly.</t>
  </si>
  <si>
    <t>G23  G28</t>
  </si>
  <si>
    <t>Compares disposable income to protected amount for the</t>
  </si>
  <si>
    <t>pay period to see if any can be held.</t>
  </si>
  <si>
    <t>State</t>
  </si>
  <si>
    <t>G24  G29</t>
  </si>
  <si>
    <t xml:space="preserve">Determines if 25% or amount exceeding protected amount </t>
  </si>
  <si>
    <t>should be held.</t>
  </si>
  <si>
    <t>H24  H29</t>
  </si>
  <si>
    <t>Selects the lessor of the above two amounts.  Non head of</t>
  </si>
  <si>
    <t>household amount.</t>
  </si>
  <si>
    <t>G25  G30</t>
  </si>
  <si>
    <t>Determines if 15% or amount exceeding protected amount</t>
  </si>
  <si>
    <t>G26  G31</t>
  </si>
  <si>
    <t>Determines if amount exceeding protected amount or 15%</t>
  </si>
  <si>
    <t>H26  H31</t>
  </si>
  <si>
    <t>Select the lessor of the above two amounts and the G23/G28</t>
  </si>
  <si>
    <t>amount.  Head of household amount.</t>
  </si>
  <si>
    <t xml:space="preserve">The G25-G26/G30-G31 comparisons are necessary as the </t>
  </si>
  <si>
    <t>Disposable Income approaches the break point, the 15%</t>
  </si>
  <si>
    <t>computaion will become lower than the difference which is</t>
  </si>
  <si>
    <t>based on 25%.</t>
  </si>
  <si>
    <t>E33</t>
  </si>
  <si>
    <t>Selects the proper 15% amount depending upon the pay cycle.</t>
  </si>
  <si>
    <t>E35</t>
  </si>
  <si>
    <t>Selects the proper 25% amount depending upon the pay cycle.</t>
  </si>
  <si>
    <t>Withholding</t>
  </si>
  <si>
    <t>Allowance</t>
  </si>
  <si>
    <t>Federal Monthly</t>
  </si>
  <si>
    <t>State Monthly</t>
  </si>
  <si>
    <t>H9</t>
  </si>
  <si>
    <t>Uses values from B7 to determine the proper federal withholding</t>
  </si>
  <si>
    <t xml:space="preserve"> allowance amount obtained from cells N84 and N85.</t>
  </si>
  <si>
    <t>H44</t>
  </si>
  <si>
    <t>Uses values from B7 to determine the proper state withholding</t>
  </si>
  <si>
    <t xml:space="preserve"> allowance amount obtained from cells N87 and N88.</t>
  </si>
  <si>
    <t>Federal Taxable Wages</t>
  </si>
  <si>
    <t>Retirement Wages</t>
  </si>
  <si>
    <t>FICA Wages</t>
  </si>
  <si>
    <t>Annual</t>
  </si>
  <si>
    <t>Federal Annual</t>
  </si>
  <si>
    <t>State Annual</t>
  </si>
  <si>
    <t xml:space="preserve">Computes retirement by multiplying the gross by the </t>
  </si>
  <si>
    <t>Minimum Wages Subject</t>
  </si>
  <si>
    <t>Biweekly</t>
  </si>
  <si>
    <t>Revised 8/24/09</t>
  </si>
  <si>
    <t>Monthly</t>
  </si>
  <si>
    <t>Wage Range</t>
  </si>
  <si>
    <t>Child Support</t>
  </si>
  <si>
    <t xml:space="preserve">Net Take Home Pay </t>
  </si>
  <si>
    <t>Employee Name</t>
  </si>
  <si>
    <t>Address Book #</t>
  </si>
  <si>
    <t>Federal Soc Sec</t>
  </si>
  <si>
    <t>Federal Medicare</t>
  </si>
  <si>
    <t>S</t>
  </si>
  <si>
    <t>Additional FIT</t>
  </si>
  <si>
    <t>Additional SIT</t>
  </si>
  <si>
    <t>Protect the sheet when done.</t>
  </si>
  <si>
    <t xml:space="preserve"> </t>
  </si>
  <si>
    <t>T</t>
  </si>
  <si>
    <t>Rate per hour or total amount</t>
  </si>
  <si>
    <t>Number of hours or 1 for total above</t>
  </si>
  <si>
    <t>Retirement Percentage</t>
  </si>
  <si>
    <t>Code</t>
  </si>
  <si>
    <t>Percent</t>
  </si>
  <si>
    <t>J1</t>
  </si>
  <si>
    <t>J2</t>
  </si>
  <si>
    <t>J3</t>
  </si>
  <si>
    <t>J4</t>
  </si>
  <si>
    <t>P</t>
  </si>
  <si>
    <t>State Portion Retirement</t>
  </si>
  <si>
    <t>State Percentages</t>
  </si>
  <si>
    <t>OT Hours or 0 if amount in total above</t>
  </si>
  <si>
    <t>% Withheld</t>
  </si>
  <si>
    <t>(Y or N)</t>
  </si>
  <si>
    <t>J5</t>
  </si>
  <si>
    <t>Health</t>
  </si>
  <si>
    <t>Dental</t>
  </si>
  <si>
    <t>Vision</t>
  </si>
  <si>
    <t>Dependent Care</t>
  </si>
  <si>
    <t>Health Savings Account</t>
  </si>
  <si>
    <t>Medical Reimbursment</t>
  </si>
  <si>
    <t>Pre-Tax</t>
  </si>
  <si>
    <t>Post-Tax</t>
  </si>
  <si>
    <t>Post-Tax Deductions</t>
  </si>
  <si>
    <t>Pre-Tax Deductions</t>
  </si>
  <si>
    <t>Tax Tables</t>
  </si>
  <si>
    <t>State Exemptions</t>
  </si>
  <si>
    <t>Multiple Job Flag (W-4 Step 2(c))</t>
  </si>
  <si>
    <t>Other Income - W4 line 4a</t>
  </si>
  <si>
    <t>Other Deductions - W4 line 4b</t>
  </si>
  <si>
    <t>Dependent credit - W4 line 3</t>
  </si>
  <si>
    <t>Maried</t>
  </si>
  <si>
    <t>Single/HOH</t>
  </si>
  <si>
    <t>HOH</t>
  </si>
  <si>
    <t>j</t>
  </si>
  <si>
    <t>a</t>
  </si>
  <si>
    <t>h</t>
  </si>
  <si>
    <r>
      <rPr>
        <b/>
        <sz val="10"/>
        <rFont val="Arial"/>
        <family val="2"/>
      </rPr>
      <t>B = B</t>
    </r>
    <r>
      <rPr>
        <sz val="10"/>
        <rFont val="Arial"/>
        <family val="2"/>
      </rPr>
      <t xml:space="preserve">i-weekly, </t>
    </r>
    <r>
      <rPr>
        <b/>
        <sz val="10"/>
        <rFont val="Arial"/>
        <family val="2"/>
      </rPr>
      <t>M = M</t>
    </r>
    <r>
      <rPr>
        <sz val="10"/>
        <rFont val="Arial"/>
        <family val="2"/>
      </rPr>
      <t>onthly</t>
    </r>
  </si>
  <si>
    <t>NOTES</t>
  </si>
  <si>
    <r>
      <rPr>
        <b/>
        <sz val="10"/>
        <rFont val="Arial"/>
        <family val="2"/>
      </rPr>
      <t>S = S</t>
    </r>
    <r>
      <rPr>
        <sz val="10"/>
        <rFont val="Arial"/>
        <family val="2"/>
      </rPr>
      <t xml:space="preserve">ingle, </t>
    </r>
    <r>
      <rPr>
        <b/>
        <sz val="10"/>
        <rFont val="Arial"/>
        <family val="2"/>
      </rPr>
      <t>M = M</t>
    </r>
    <r>
      <rPr>
        <sz val="10"/>
        <rFont val="Arial"/>
        <family val="2"/>
      </rPr>
      <t>arried</t>
    </r>
  </si>
  <si>
    <t>Judges : J1 = 9%, J2 = 7%, J3 = 5%, J4 = 1%, J5 = 10%</t>
  </si>
  <si>
    <r>
      <rPr>
        <b/>
        <sz val="10"/>
        <rFont val="Arial"/>
        <family val="2"/>
      </rPr>
      <t>FEDERAL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J </t>
    </r>
    <r>
      <rPr>
        <sz val="10"/>
        <rFont val="Arial"/>
        <family val="2"/>
      </rPr>
      <t xml:space="preserve">= Single, </t>
    </r>
    <r>
      <rPr>
        <b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= Married, </t>
    </r>
    <r>
      <rPr>
        <b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= HOH </t>
    </r>
  </si>
  <si>
    <t>S = State, T = Teacher, J = Judge, P = Patrol</t>
  </si>
  <si>
    <t>N</t>
  </si>
  <si>
    <t>B</t>
  </si>
  <si>
    <r>
      <rPr>
        <b/>
        <sz val="10"/>
        <rFont val="Arial"/>
        <family val="2"/>
      </rPr>
      <t xml:space="preserve">STATE S </t>
    </r>
    <r>
      <rPr>
        <sz val="10"/>
        <rFont val="Arial"/>
        <family val="2"/>
      </rPr>
      <t xml:space="preserve">=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ingle or </t>
    </r>
    <r>
      <rPr>
        <b/>
        <sz val="10"/>
        <rFont val="Arial"/>
        <family val="2"/>
      </rPr>
      <t>M = M</t>
    </r>
    <r>
      <rPr>
        <sz val="10"/>
        <rFont val="Arial"/>
        <family val="2"/>
      </rPr>
      <t>arried</t>
    </r>
  </si>
  <si>
    <t>J</t>
  </si>
  <si>
    <t>Y</t>
  </si>
  <si>
    <t>Deferred Comp $ Withheld</t>
  </si>
  <si>
    <t>Parking</t>
  </si>
  <si>
    <t>Bus Pass</t>
  </si>
  <si>
    <t>S = State, T = Teacher,  J =Judge, P = Patrol</t>
  </si>
  <si>
    <t>Payroll Calculation for 2024 - Rev 1/2/24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</si>
</sst>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0.000_)"/>
    <numFmt numFmtId="165" formatCode="0_)"/>
    <numFmt numFmtId="166" formatCode="General_)"/>
    <numFmt numFmtId="167" formatCode="0.00_)"/>
    <numFmt numFmtId="168" formatCode="0.0000_)"/>
    <numFmt numFmtId="169" formatCode="&quot;$&quot;#,##0.00"/>
    <numFmt numFmtId="170" formatCode="&quot;$&quot;#,##0.000"/>
  </numFmts>
  <fonts count="15">
    <font>
      <sz val="12"/>
      <name val="Arial MT"/>
    </font>
    <font>
      <sz val="10"/>
      <name val="Arial"/>
      <family val="2"/>
    </font>
    <font>
      <sz val="10"/>
      <name val="Arial MT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MT"/>
    </font>
    <font>
      <sz val="8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167" fontId="0" fillId="0" borderId="0"/>
    <xf numFmtId="9" fontId="1" fillId="0" borderId="0" applyFont="0" applyFill="0" applyBorder="0" applyAlignment="0" applyProtection="0"/>
  </cellStyleXfs>
  <cellXfs count="223">
    <xf numFmtId="167" fontId="0" fillId="0" borderId="0" xfId="0"/>
    <xf numFmtId="167" fontId="0" fillId="0" borderId="0" xfId="0" applyAlignment="1">
      <alignment horizontal="left"/>
    </xf>
    <xf numFmtId="167" fontId="2" fillId="0" borderId="0" xfId="0" applyFont="1" applyAlignment="1">
      <alignment horizontal="left"/>
    </xf>
    <xf numFmtId="167" fontId="2" fillId="0" borderId="0" xfId="0" applyFont="1"/>
    <xf numFmtId="4" fontId="2" fillId="0" borderId="0" xfId="0" applyNumberFormat="1" applyFont="1"/>
    <xf numFmtId="165" fontId="2" fillId="0" borderId="0" xfId="0" applyNumberFormat="1" applyFont="1"/>
    <xf numFmtId="167" fontId="0" fillId="0" borderId="0" xfId="0" applyAlignment="1">
      <alignment horizontal="right"/>
    </xf>
    <xf numFmtId="167" fontId="2" fillId="2" borderId="1" xfId="0" applyFont="1" applyFill="1" applyBorder="1"/>
    <xf numFmtId="167" fontId="2" fillId="2" borderId="2" xfId="0" applyFont="1" applyFill="1" applyBorder="1"/>
    <xf numFmtId="0" fontId="2" fillId="3" borderId="3" xfId="0" applyNumberFormat="1" applyFont="1" applyFill="1" applyBorder="1" applyAlignment="1">
      <alignment horizontal="right"/>
    </xf>
    <xf numFmtId="169" fontId="2" fillId="3" borderId="3" xfId="0" applyNumberFormat="1" applyFont="1" applyFill="1" applyBorder="1"/>
    <xf numFmtId="167" fontId="2" fillId="2" borderId="4" xfId="0" applyFont="1" applyFill="1" applyBorder="1"/>
    <xf numFmtId="7" fontId="2" fillId="2" borderId="5" xfId="0" applyNumberFormat="1" applyFont="1" applyFill="1" applyBorder="1"/>
    <xf numFmtId="0" fontId="2" fillId="2" borderId="5" xfId="0" applyNumberFormat="1" applyFont="1" applyFill="1" applyBorder="1"/>
    <xf numFmtId="167" fontId="2" fillId="2" borderId="6" xfId="0" applyFont="1" applyFill="1" applyBorder="1"/>
    <xf numFmtId="10" fontId="2" fillId="0" borderId="0" xfId="1" applyNumberFormat="1" applyFont="1"/>
    <xf numFmtId="167" fontId="3" fillId="0" borderId="2" xfId="0" applyFont="1" applyBorder="1"/>
    <xf numFmtId="167" fontId="3" fillId="0" borderId="4" xfId="0" applyFont="1" applyBorder="1"/>
    <xf numFmtId="4" fontId="0" fillId="5" borderId="0" xfId="0" applyNumberFormat="1" applyFill="1"/>
    <xf numFmtId="167" fontId="0" fillId="5" borderId="0" xfId="0" applyFill="1"/>
    <xf numFmtId="4" fontId="0" fillId="5" borderId="0" xfId="0" applyNumberFormat="1" applyFill="1" applyAlignment="1">
      <alignment horizontal="left"/>
    </xf>
    <xf numFmtId="4" fontId="2" fillId="5" borderId="0" xfId="0" applyNumberFormat="1" applyFont="1" applyFill="1"/>
    <xf numFmtId="168" fontId="0" fillId="5" borderId="0" xfId="0" applyNumberFormat="1" applyFill="1"/>
    <xf numFmtId="167" fontId="6" fillId="5" borderId="0" xfId="0" applyFont="1" applyFill="1" applyAlignment="1">
      <alignment horizontal="right"/>
    </xf>
    <xf numFmtId="167" fontId="6" fillId="5" borderId="0" xfId="0" applyFont="1" applyFill="1" applyAlignment="1">
      <alignment horizontal="left"/>
    </xf>
    <xf numFmtId="4" fontId="6" fillId="5" borderId="0" xfId="0" applyNumberFormat="1" applyFont="1" applyFill="1" applyAlignment="1">
      <alignment horizontal="left"/>
    </xf>
    <xf numFmtId="167" fontId="6" fillId="5" borderId="0" xfId="0" applyFont="1" applyFill="1"/>
    <xf numFmtId="167" fontId="6" fillId="5" borderId="0" xfId="0" applyFont="1" applyFill="1" applyAlignment="1">
      <alignment horizontal="center"/>
    </xf>
    <xf numFmtId="167" fontId="0" fillId="0" borderId="0" xfId="0" applyAlignment="1">
      <alignment vertical="center"/>
    </xf>
    <xf numFmtId="167" fontId="2" fillId="0" borderId="0" xfId="0" applyFont="1" applyAlignment="1">
      <alignment vertical="center"/>
    </xf>
    <xf numFmtId="167" fontId="2" fillId="0" borderId="0" xfId="0" applyFont="1" applyAlignment="1">
      <alignment horizontal="left" vertical="center"/>
    </xf>
    <xf numFmtId="4" fontId="0" fillId="5" borderId="0" xfId="0" applyNumberFormat="1" applyFill="1" applyAlignment="1">
      <alignment vertical="center"/>
    </xf>
    <xf numFmtId="169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0" fillId="5" borderId="0" xfId="0" applyNumberFormat="1" applyFill="1" applyAlignment="1">
      <alignment vertical="center"/>
    </xf>
    <xf numFmtId="166" fontId="2" fillId="0" borderId="0" xfId="0" applyNumberFormat="1" applyFont="1" applyAlignment="1">
      <alignment vertical="center"/>
    </xf>
    <xf numFmtId="7" fontId="2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164" fontId="0" fillId="5" borderId="0" xfId="0" applyNumberFormat="1" applyFill="1"/>
    <xf numFmtId="164" fontId="6" fillId="5" borderId="0" xfId="0" applyNumberFormat="1" applyFont="1" applyFill="1" applyAlignment="1">
      <alignment horizontal="left"/>
    </xf>
    <xf numFmtId="166" fontId="2" fillId="0" borderId="0" xfId="0" applyNumberFormat="1" applyFont="1"/>
    <xf numFmtId="7" fontId="2" fillId="0" borderId="0" xfId="0" applyNumberFormat="1" applyFont="1"/>
    <xf numFmtId="167" fontId="0" fillId="0" borderId="0" xfId="0" applyAlignment="1">
      <alignment vertical="top"/>
    </xf>
    <xf numFmtId="10" fontId="2" fillId="0" borderId="0" xfId="0" applyNumberFormat="1" applyFont="1"/>
    <xf numFmtId="167" fontId="2" fillId="2" borderId="0" xfId="0" applyFont="1" applyFill="1"/>
    <xf numFmtId="0" fontId="2" fillId="2" borderId="0" xfId="0" applyNumberFormat="1" applyFont="1" applyFill="1"/>
    <xf numFmtId="2" fontId="2" fillId="2" borderId="0" xfId="0" applyNumberFormat="1" applyFont="1" applyFill="1"/>
    <xf numFmtId="7" fontId="2" fillId="2" borderId="0" xfId="0" applyNumberFormat="1" applyFont="1" applyFill="1"/>
    <xf numFmtId="164" fontId="2" fillId="5" borderId="0" xfId="0" applyNumberFormat="1" applyFont="1" applyFill="1"/>
    <xf numFmtId="168" fontId="2" fillId="0" borderId="0" xfId="0" applyNumberFormat="1" applyFont="1"/>
    <xf numFmtId="39" fontId="2" fillId="0" borderId="0" xfId="0" applyNumberFormat="1" applyFont="1"/>
    <xf numFmtId="164" fontId="0" fillId="5" borderId="0" xfId="0" applyNumberFormat="1" applyFill="1" applyAlignment="1">
      <alignment horizontal="left"/>
    </xf>
    <xf numFmtId="167" fontId="3" fillId="0" borderId="4" xfId="0" applyFont="1" applyBorder="1" applyAlignment="1">
      <alignment vertical="center"/>
    </xf>
    <xf numFmtId="167" fontId="0" fillId="0" borderId="0" xfId="0" applyAlignment="1">
      <alignment horizontal="left" vertical="center"/>
    </xf>
    <xf numFmtId="167" fontId="0" fillId="0" borderId="0" xfId="0" applyAlignment="1">
      <alignment horizontal="right" vertical="center"/>
    </xf>
    <xf numFmtId="167" fontId="3" fillId="0" borderId="0" xfId="0" applyFont="1" applyAlignment="1">
      <alignment vertical="center"/>
    </xf>
    <xf numFmtId="167" fontId="3" fillId="10" borderId="10" xfId="0" applyFont="1" applyFill="1" applyBorder="1" applyAlignment="1">
      <alignment horizontal="right" vertical="center"/>
    </xf>
    <xf numFmtId="167" fontId="3" fillId="10" borderId="0" xfId="0" applyFont="1" applyFill="1" applyAlignment="1">
      <alignment horizontal="right" vertical="center"/>
    </xf>
    <xf numFmtId="167" fontId="0" fillId="0" borderId="11" xfId="0" applyBorder="1" applyAlignment="1">
      <alignment vertical="center"/>
    </xf>
    <xf numFmtId="10" fontId="2" fillId="0" borderId="0" xfId="1" applyNumberFormat="1" applyFont="1" applyAlignment="1">
      <alignment vertical="center"/>
    </xf>
    <xf numFmtId="167" fontId="1" fillId="0" borderId="4" xfId="0" applyFont="1" applyBorder="1" applyAlignment="1">
      <alignment vertical="center"/>
    </xf>
    <xf numFmtId="167" fontId="8" fillId="0" borderId="38" xfId="0" applyFont="1" applyBorder="1" applyAlignment="1">
      <alignment horizontal="left" vertical="center"/>
    </xf>
    <xf numFmtId="1" fontId="1" fillId="6" borderId="39" xfId="0" applyNumberFormat="1" applyFont="1" applyFill="1" applyBorder="1" applyAlignment="1" applyProtection="1">
      <alignment horizontal="right" vertical="center"/>
      <protection locked="0"/>
    </xf>
    <xf numFmtId="167" fontId="1" fillId="0" borderId="26" xfId="0" applyFont="1" applyBorder="1" applyAlignment="1">
      <alignment vertical="center"/>
    </xf>
    <xf numFmtId="167" fontId="1" fillId="0" borderId="1" xfId="0" applyFont="1" applyBorder="1" applyAlignment="1">
      <alignment horizontal="left" vertical="center"/>
    </xf>
    <xf numFmtId="169" fontId="1" fillId="6" borderId="1" xfId="0" applyNumberFormat="1" applyFont="1" applyFill="1" applyBorder="1" applyAlignment="1" applyProtection="1">
      <alignment vertical="center"/>
      <protection hidden="1"/>
    </xf>
    <xf numFmtId="167" fontId="2" fillId="0" borderId="11" xfId="0" applyFont="1" applyBorder="1" applyAlignment="1">
      <alignment vertical="center"/>
    </xf>
    <xf numFmtId="167" fontId="6" fillId="5" borderId="0" xfId="0" applyFont="1" applyFill="1" applyAlignment="1">
      <alignment horizontal="right" vertical="center"/>
    </xf>
    <xf numFmtId="167" fontId="6" fillId="5" borderId="0" xfId="0" applyFont="1" applyFill="1" applyAlignment="1">
      <alignment horizontal="center" vertical="center"/>
    </xf>
    <xf numFmtId="167" fontId="8" fillId="0" borderId="25" xfId="0" applyFont="1" applyBorder="1" applyAlignment="1">
      <alignment horizontal="left" vertical="center"/>
    </xf>
    <xf numFmtId="167" fontId="1" fillId="6" borderId="15" xfId="0" applyFont="1" applyFill="1" applyBorder="1" applyAlignment="1" applyProtection="1">
      <alignment horizontal="right" vertical="center"/>
      <protection locked="0"/>
    </xf>
    <xf numFmtId="167" fontId="1" fillId="0" borderId="21" xfId="0" applyFont="1" applyBorder="1" applyAlignment="1">
      <alignment vertical="center"/>
    </xf>
    <xf numFmtId="167" fontId="1" fillId="0" borderId="0" xfId="0" applyFont="1" applyAlignment="1">
      <alignment horizontal="left" vertical="center"/>
    </xf>
    <xf numFmtId="169" fontId="1" fillId="6" borderId="4" xfId="0" applyNumberFormat="1" applyFont="1" applyFill="1" applyBorder="1" applyAlignment="1" applyProtection="1">
      <alignment vertical="center"/>
      <protection hidden="1"/>
    </xf>
    <xf numFmtId="167" fontId="6" fillId="5" borderId="0" xfId="0" applyFont="1" applyFill="1" applyAlignment="1">
      <alignment horizontal="left" vertical="center"/>
    </xf>
    <xf numFmtId="164" fontId="6" fillId="5" borderId="0" xfId="0" applyNumberFormat="1" applyFont="1" applyFill="1" applyAlignment="1">
      <alignment horizontal="left" vertical="center"/>
    </xf>
    <xf numFmtId="1" fontId="1" fillId="6" borderId="13" xfId="0" applyNumberFormat="1" applyFont="1" applyFill="1" applyBorder="1" applyAlignment="1" applyProtection="1">
      <alignment horizontal="right" vertical="center"/>
      <protection locked="0"/>
    </xf>
    <xf numFmtId="167" fontId="1" fillId="0" borderId="17" xfId="0" applyFont="1" applyBorder="1" applyAlignment="1">
      <alignment vertical="center"/>
    </xf>
    <xf numFmtId="167" fontId="1" fillId="0" borderId="18" xfId="0" applyFont="1" applyBorder="1" applyAlignment="1">
      <alignment horizontal="left" vertical="center"/>
    </xf>
    <xf numFmtId="169" fontId="1" fillId="6" borderId="18" xfId="0" applyNumberFormat="1" applyFont="1" applyFill="1" applyBorder="1" applyAlignment="1" applyProtection="1">
      <alignment vertical="center"/>
      <protection hidden="1"/>
    </xf>
    <xf numFmtId="167" fontId="1" fillId="0" borderId="40" xfId="0" applyFont="1" applyBorder="1" applyAlignment="1">
      <alignment vertical="center"/>
    </xf>
    <xf numFmtId="169" fontId="1" fillId="6" borderId="41" xfId="0" applyNumberFormat="1" applyFont="1" applyFill="1" applyBorder="1" applyAlignment="1" applyProtection="1">
      <alignment vertical="center"/>
      <protection locked="0" hidden="1"/>
    </xf>
    <xf numFmtId="169" fontId="1" fillId="6" borderId="0" xfId="0" applyNumberFormat="1" applyFont="1" applyFill="1" applyAlignment="1" applyProtection="1">
      <alignment vertical="center"/>
      <protection locked="0" hidden="1"/>
    </xf>
    <xf numFmtId="167" fontId="1" fillId="0" borderId="29" xfId="0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169" fontId="1" fillId="6" borderId="18" xfId="0" applyNumberFormat="1" applyFont="1" applyFill="1" applyBorder="1" applyAlignment="1" applyProtection="1">
      <alignment vertical="center"/>
      <protection locked="0" hidden="1"/>
    </xf>
    <xf numFmtId="170" fontId="1" fillId="2" borderId="15" xfId="0" applyNumberFormat="1" applyFont="1" applyFill="1" applyBorder="1" applyAlignment="1" applyProtection="1">
      <alignment vertical="center"/>
      <protection locked="0"/>
    </xf>
    <xf numFmtId="167" fontId="1" fillId="0" borderId="42" xfId="0" applyFont="1" applyBorder="1" applyAlignment="1">
      <alignment vertical="center"/>
    </xf>
    <xf numFmtId="169" fontId="1" fillId="6" borderId="43" xfId="0" applyNumberFormat="1" applyFont="1" applyFill="1" applyBorder="1" applyAlignment="1" applyProtection="1">
      <alignment vertical="center"/>
      <protection locked="0" hidden="1"/>
    </xf>
    <xf numFmtId="2" fontId="1" fillId="8" borderId="15" xfId="0" applyNumberFormat="1" applyFont="1" applyFill="1" applyBorder="1" applyAlignment="1" applyProtection="1">
      <alignment vertical="center"/>
      <protection locked="0"/>
    </xf>
    <xf numFmtId="167" fontId="1" fillId="10" borderId="20" xfId="0" applyFont="1" applyFill="1" applyBorder="1" applyAlignment="1">
      <alignment vertical="center"/>
    </xf>
    <xf numFmtId="167" fontId="12" fillId="10" borderId="20" xfId="0" applyFont="1" applyFill="1" applyBorder="1" applyAlignment="1">
      <alignment horizontal="left" vertical="center"/>
    </xf>
    <xf numFmtId="169" fontId="4" fillId="10" borderId="20" xfId="0" applyNumberFormat="1" applyFont="1" applyFill="1" applyBorder="1" applyAlignment="1" applyProtection="1">
      <alignment vertical="center"/>
      <protection locked="0" hidden="1"/>
    </xf>
    <xf numFmtId="167" fontId="0" fillId="5" borderId="0" xfId="0" applyFill="1" applyAlignment="1">
      <alignment vertical="center"/>
    </xf>
    <xf numFmtId="167" fontId="1" fillId="0" borderId="29" xfId="0" applyFont="1" applyBorder="1" applyAlignment="1">
      <alignment vertical="center"/>
    </xf>
    <xf numFmtId="2" fontId="1" fillId="8" borderId="15" xfId="0" applyNumberFormat="1" applyFont="1" applyFill="1" applyBorder="1" applyAlignment="1">
      <alignment vertical="center"/>
    </xf>
    <xf numFmtId="4" fontId="6" fillId="5" borderId="0" xfId="0" applyNumberFormat="1" applyFont="1" applyFill="1" applyAlignment="1">
      <alignment horizontal="left" vertical="center"/>
    </xf>
    <xf numFmtId="169" fontId="1" fillId="2" borderId="15" xfId="0" applyNumberFormat="1" applyFont="1" applyFill="1" applyBorder="1" applyAlignment="1" applyProtection="1">
      <alignment vertical="center"/>
      <protection locked="0"/>
    </xf>
    <xf numFmtId="167" fontId="4" fillId="10" borderId="20" xfId="0" applyFont="1" applyFill="1" applyBorder="1" applyAlignment="1">
      <alignment horizontal="left" vertical="center"/>
    </xf>
    <xf numFmtId="167" fontId="12" fillId="10" borderId="20" xfId="0" applyFont="1" applyFill="1" applyBorder="1" applyAlignment="1" applyProtection="1">
      <alignment vertical="center"/>
      <protection locked="0" hidden="1"/>
    </xf>
    <xf numFmtId="167" fontId="1" fillId="0" borderId="44" xfId="0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69" fontId="1" fillId="6" borderId="4" xfId="0" applyNumberFormat="1" applyFont="1" applyFill="1" applyBorder="1" applyAlignment="1" applyProtection="1">
      <alignment vertical="center"/>
      <protection locked="0" hidden="1"/>
    </xf>
    <xf numFmtId="167" fontId="1" fillId="2" borderId="15" xfId="0" applyFont="1" applyFill="1" applyBorder="1" applyAlignment="1" applyProtection="1">
      <alignment horizontal="right" vertical="center"/>
      <protection locked="0"/>
    </xf>
    <xf numFmtId="167" fontId="1" fillId="0" borderId="34" xfId="0" applyFont="1" applyBorder="1" applyAlignment="1">
      <alignment vertical="center"/>
    </xf>
    <xf numFmtId="167" fontId="1" fillId="0" borderId="0" xfId="0" applyFont="1" applyAlignment="1" applyProtection="1">
      <alignment horizontal="left" vertical="center"/>
      <protection locked="0"/>
    </xf>
    <xf numFmtId="169" fontId="1" fillId="6" borderId="32" xfId="0" applyNumberFormat="1" applyFont="1" applyFill="1" applyBorder="1" applyAlignment="1">
      <alignment vertical="center"/>
    </xf>
    <xf numFmtId="167" fontId="5" fillId="0" borderId="29" xfId="0" applyFont="1" applyBorder="1" applyAlignment="1">
      <alignment horizontal="left" vertical="center"/>
    </xf>
    <xf numFmtId="167" fontId="1" fillId="8" borderId="15" xfId="0" applyFont="1" applyFill="1" applyBorder="1" applyAlignment="1" applyProtection="1">
      <alignment horizontal="right" vertical="center"/>
      <protection locked="0"/>
    </xf>
    <xf numFmtId="167" fontId="2" fillId="2" borderId="10" xfId="0" applyFont="1" applyFill="1" applyBorder="1" applyAlignment="1">
      <alignment vertical="center"/>
    </xf>
    <xf numFmtId="167" fontId="2" fillId="2" borderId="1" xfId="0" applyFont="1" applyFill="1" applyBorder="1" applyAlignment="1">
      <alignment vertical="center"/>
    </xf>
    <xf numFmtId="167" fontId="2" fillId="2" borderId="2" xfId="0" applyFont="1" applyFill="1" applyBorder="1" applyAlignment="1">
      <alignment vertical="center"/>
    </xf>
    <xf numFmtId="167" fontId="7" fillId="0" borderId="29" xfId="0" applyFont="1" applyBorder="1" applyAlignment="1">
      <alignment horizontal="left" vertical="center"/>
    </xf>
    <xf numFmtId="167" fontId="2" fillId="2" borderId="11" xfId="0" applyFont="1" applyFill="1" applyBorder="1" applyAlignment="1">
      <alignment vertical="center"/>
    </xf>
    <xf numFmtId="167" fontId="2" fillId="2" borderId="0" xfId="0" applyFont="1" applyFill="1" applyAlignment="1">
      <alignment vertical="center"/>
    </xf>
    <xf numFmtId="0" fontId="2" fillId="3" borderId="3" xfId="0" applyNumberFormat="1" applyFont="1" applyFill="1" applyBorder="1" applyAlignment="1">
      <alignment horizontal="right" vertical="center"/>
    </xf>
    <xf numFmtId="169" fontId="2" fillId="3" borderId="3" xfId="0" applyNumberFormat="1" applyFont="1" applyFill="1" applyBorder="1" applyAlignment="1">
      <alignment vertical="center"/>
    </xf>
    <xf numFmtId="167" fontId="2" fillId="2" borderId="4" xfId="0" applyFont="1" applyFill="1" applyBorder="1" applyAlignment="1">
      <alignment vertical="center"/>
    </xf>
    <xf numFmtId="10" fontId="1" fillId="11" borderId="15" xfId="1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7" fontId="2" fillId="2" borderId="11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7" fontId="2" fillId="2" borderId="0" xfId="0" applyNumberFormat="1" applyFont="1" applyFill="1" applyAlignment="1">
      <alignment vertical="center"/>
    </xf>
    <xf numFmtId="169" fontId="1" fillId="2" borderId="15" xfId="0" applyNumberFormat="1" applyFont="1" applyFill="1" applyBorder="1" applyAlignment="1">
      <alignment vertical="center"/>
    </xf>
    <xf numFmtId="167" fontId="1" fillId="4" borderId="29" xfId="0" applyFont="1" applyFill="1" applyBorder="1" applyAlignment="1" applyProtection="1">
      <alignment vertical="center"/>
      <protection locked="0"/>
    </xf>
    <xf numFmtId="169" fontId="1" fillId="4" borderId="15" xfId="0" applyNumberFormat="1" applyFont="1" applyFill="1" applyBorder="1" applyAlignment="1" applyProtection="1">
      <alignment vertical="center"/>
      <protection locked="0"/>
    </xf>
    <xf numFmtId="0" fontId="2" fillId="2" borderId="12" xfId="0" applyNumberFormat="1" applyFont="1" applyFill="1" applyBorder="1" applyAlignment="1">
      <alignment vertical="center"/>
    </xf>
    <xf numFmtId="7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167" fontId="2" fillId="2" borderId="6" xfId="0" applyFont="1" applyFill="1" applyBorder="1" applyAlignment="1">
      <alignment vertical="center"/>
    </xf>
    <xf numFmtId="167" fontId="1" fillId="0" borderId="29" xfId="0" applyFont="1" applyBorder="1" applyAlignment="1" applyProtection="1">
      <alignment horizontal="left" vertical="center"/>
      <protection locked="0"/>
    </xf>
    <xf numFmtId="4" fontId="2" fillId="5" borderId="0" xfId="0" applyNumberFormat="1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167" fontId="1" fillId="0" borderId="46" xfId="0" applyFont="1" applyBorder="1" applyAlignment="1" applyProtection="1">
      <alignment horizontal="left" vertical="center"/>
      <protection locked="0"/>
    </xf>
    <xf numFmtId="169" fontId="1" fillId="2" borderId="31" xfId="0" applyNumberFormat="1" applyFont="1" applyFill="1" applyBorder="1" applyAlignment="1" applyProtection="1">
      <alignment vertical="center"/>
      <protection locked="0"/>
    </xf>
    <xf numFmtId="167" fontId="1" fillId="10" borderId="5" xfId="0" applyFont="1" applyFill="1" applyBorder="1" applyAlignment="1">
      <alignment vertical="center"/>
    </xf>
    <xf numFmtId="167" fontId="7" fillId="10" borderId="9" xfId="0" applyFont="1" applyFill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0" fillId="5" borderId="0" xfId="0" applyNumberFormat="1" applyFill="1" applyAlignment="1">
      <alignment vertical="center"/>
    </xf>
    <xf numFmtId="4" fontId="0" fillId="5" borderId="0" xfId="0" applyNumberFormat="1" applyFill="1" applyAlignment="1">
      <alignment horizontal="left" vertical="center"/>
    </xf>
    <xf numFmtId="164" fontId="0" fillId="5" borderId="0" xfId="0" applyNumberFormat="1" applyFill="1" applyAlignment="1">
      <alignment horizontal="left" vertical="center"/>
    </xf>
    <xf numFmtId="167" fontId="6" fillId="5" borderId="0" xfId="0" applyFont="1" applyFill="1" applyAlignment="1">
      <alignment vertical="center"/>
    </xf>
    <xf numFmtId="167" fontId="3" fillId="0" borderId="0" xfId="0" applyFont="1"/>
    <xf numFmtId="167" fontId="13" fillId="10" borderId="10" xfId="0" applyFont="1" applyFill="1" applyBorder="1" applyAlignment="1">
      <alignment horizontal="right"/>
    </xf>
    <xf numFmtId="167" fontId="0" fillId="0" borderId="0" xfId="0" applyAlignment="1">
      <alignment horizontal="center"/>
    </xf>
    <xf numFmtId="167" fontId="13" fillId="10" borderId="11" xfId="0" applyFont="1" applyFill="1" applyBorder="1" applyAlignment="1">
      <alignment horizontal="right"/>
    </xf>
    <xf numFmtId="167" fontId="1" fillId="0" borderId="0" xfId="0" applyFont="1"/>
    <xf numFmtId="167" fontId="4" fillId="0" borderId="38" xfId="0" applyFont="1" applyBorder="1" applyAlignment="1">
      <alignment horizontal="left" vertical="center"/>
    </xf>
    <xf numFmtId="167" fontId="3" fillId="10" borderId="3" xfId="0" applyFont="1" applyFill="1" applyBorder="1" applyAlignment="1">
      <alignment vertical="center"/>
    </xf>
    <xf numFmtId="167" fontId="1" fillId="0" borderId="0" xfId="0" applyFont="1" applyAlignment="1">
      <alignment vertical="center"/>
    </xf>
    <xf numFmtId="169" fontId="1" fillId="6" borderId="16" xfId="0" applyNumberFormat="1" applyFont="1" applyFill="1" applyBorder="1" applyAlignment="1" applyProtection="1">
      <alignment vertical="center"/>
      <protection locked="0" hidden="1"/>
    </xf>
    <xf numFmtId="167" fontId="1" fillId="0" borderId="0" xfId="0" applyFont="1" applyAlignment="1">
      <alignment horizontal="left"/>
    </xf>
    <xf numFmtId="167" fontId="2" fillId="0" borderId="11" xfId="0" applyFont="1" applyBorder="1"/>
    <xf numFmtId="167" fontId="1" fillId="0" borderId="4" xfId="0" applyFont="1" applyBorder="1"/>
    <xf numFmtId="167" fontId="3" fillId="10" borderId="16" xfId="0" applyFont="1" applyFill="1" applyBorder="1" applyAlignment="1">
      <alignment horizontal="left" vertical="center"/>
    </xf>
    <xf numFmtId="167" fontId="1" fillId="10" borderId="3" xfId="0" applyFont="1" applyFill="1" applyBorder="1" applyAlignment="1">
      <alignment horizontal="left" vertical="center"/>
    </xf>
    <xf numFmtId="167" fontId="1" fillId="10" borderId="16" xfId="0" applyFont="1" applyFill="1" applyBorder="1" applyAlignment="1">
      <alignment horizontal="left" vertical="center"/>
    </xf>
    <xf numFmtId="169" fontId="1" fillId="6" borderId="48" xfId="0" applyNumberFormat="1" applyFont="1" applyFill="1" applyBorder="1" applyAlignment="1" applyProtection="1">
      <alignment vertical="center"/>
      <protection locked="0" hidden="1"/>
    </xf>
    <xf numFmtId="167" fontId="1" fillId="10" borderId="21" xfId="0" applyFont="1" applyFill="1" applyBorder="1" applyAlignment="1">
      <alignment horizontal="left" vertical="center"/>
    </xf>
    <xf numFmtId="169" fontId="4" fillId="10" borderId="49" xfId="0" applyNumberFormat="1" applyFont="1" applyFill="1" applyBorder="1" applyAlignment="1" applyProtection="1">
      <alignment vertical="center"/>
      <protection locked="0" hidden="1"/>
    </xf>
    <xf numFmtId="167" fontId="4" fillId="0" borderId="0" xfId="0" applyFont="1" applyAlignment="1">
      <alignment horizontal="left"/>
    </xf>
    <xf numFmtId="167" fontId="1" fillId="0" borderId="16" xfId="0" applyFont="1" applyBorder="1" applyAlignment="1" applyProtection="1">
      <alignment vertical="center"/>
      <protection locked="0" hidden="1"/>
    </xf>
    <xf numFmtId="167" fontId="1" fillId="10" borderId="49" xfId="0" applyFont="1" applyFill="1" applyBorder="1" applyAlignment="1" applyProtection="1">
      <alignment vertical="center"/>
      <protection locked="0" hidden="1"/>
    </xf>
    <xf numFmtId="10" fontId="1" fillId="11" borderId="15" xfId="1" applyNumberFormat="1" applyFont="1" applyFill="1" applyBorder="1" applyAlignment="1" applyProtection="1">
      <alignment vertical="center"/>
      <protection hidden="1"/>
    </xf>
    <xf numFmtId="169" fontId="1" fillId="6" borderId="16" xfId="0" applyNumberFormat="1" applyFont="1" applyFill="1" applyBorder="1" applyAlignment="1">
      <alignment vertical="center"/>
    </xf>
    <xf numFmtId="167" fontId="1" fillId="0" borderId="0" xfId="0" applyFont="1" applyAlignment="1" applyProtection="1">
      <alignment horizontal="left"/>
      <protection locked="0"/>
    </xf>
    <xf numFmtId="167" fontId="1" fillId="10" borderId="0" xfId="0" applyFont="1" applyFill="1" applyAlignment="1">
      <alignment horizontal="left" vertical="center"/>
    </xf>
    <xf numFmtId="167" fontId="1" fillId="0" borderId="30" xfId="0" applyFont="1" applyBorder="1" applyAlignment="1" applyProtection="1">
      <alignment horizontal="left"/>
      <protection locked="0"/>
    </xf>
    <xf numFmtId="169" fontId="1" fillId="2" borderId="31" xfId="0" applyNumberFormat="1" applyFont="1" applyFill="1" applyBorder="1" applyProtection="1">
      <protection locked="0"/>
    </xf>
    <xf numFmtId="167" fontId="1" fillId="10" borderId="28" xfId="0" applyFont="1" applyFill="1" applyBorder="1" applyAlignment="1">
      <alignment horizontal="left"/>
    </xf>
    <xf numFmtId="167" fontId="1" fillId="10" borderId="8" xfId="0" applyFont="1" applyFill="1" applyBorder="1"/>
    <xf numFmtId="167" fontId="1" fillId="10" borderId="5" xfId="0" applyFont="1" applyFill="1" applyBorder="1"/>
    <xf numFmtId="167" fontId="7" fillId="10" borderId="50" xfId="0" applyFont="1" applyFill="1" applyBorder="1" applyAlignment="1">
      <alignment horizontal="center"/>
    </xf>
    <xf numFmtId="167" fontId="11" fillId="9" borderId="7" xfId="0" quotePrefix="1" applyFont="1" applyFill="1" applyBorder="1" applyAlignment="1">
      <alignment horizontal="center" vertical="center"/>
    </xf>
    <xf numFmtId="167" fontId="11" fillId="9" borderId="8" xfId="0" quotePrefix="1" applyFont="1" applyFill="1" applyBorder="1" applyAlignment="1">
      <alignment horizontal="center" vertical="center"/>
    </xf>
    <xf numFmtId="167" fontId="11" fillId="9" borderId="9" xfId="0" quotePrefix="1" applyFont="1" applyFill="1" applyBorder="1" applyAlignment="1">
      <alignment horizontal="center" vertical="center"/>
    </xf>
    <xf numFmtId="167" fontId="14" fillId="10" borderId="27" xfId="0" applyFont="1" applyFill="1" applyBorder="1" applyAlignment="1" applyProtection="1">
      <alignment horizontal="center" vertical="center" wrapText="1"/>
      <protection locked="0"/>
    </xf>
    <xf numFmtId="167" fontId="14" fillId="10" borderId="29" xfId="0" applyFont="1" applyFill="1" applyBorder="1" applyAlignment="1" applyProtection="1">
      <alignment horizontal="center" vertical="center" wrapText="1"/>
      <protection locked="0"/>
    </xf>
    <xf numFmtId="0" fontId="2" fillId="7" borderId="21" xfId="0" applyNumberFormat="1" applyFont="1" applyFill="1" applyBorder="1" applyAlignment="1">
      <alignment horizontal="center"/>
    </xf>
    <xf numFmtId="0" fontId="2" fillId="7" borderId="16" xfId="0" applyNumberFormat="1" applyFont="1" applyFill="1" applyBorder="1" applyAlignment="1">
      <alignment horizontal="center"/>
    </xf>
    <xf numFmtId="0" fontId="2" fillId="7" borderId="26" xfId="0" applyNumberFormat="1" applyFont="1" applyFill="1" applyBorder="1" applyAlignment="1">
      <alignment horizontal="center"/>
    </xf>
    <xf numFmtId="167" fontId="2" fillId="0" borderId="14" xfId="0" applyFont="1" applyBorder="1" applyAlignment="1">
      <alignment horizontal="center"/>
    </xf>
    <xf numFmtId="167" fontId="13" fillId="0" borderId="7" xfId="0" applyFont="1" applyBorder="1" applyAlignment="1">
      <alignment horizontal="center"/>
    </xf>
    <xf numFmtId="167" fontId="13" fillId="0" borderId="8" xfId="0" applyFont="1" applyBorder="1" applyAlignment="1">
      <alignment horizontal="center"/>
    </xf>
    <xf numFmtId="167" fontId="13" fillId="0" borderId="9" xfId="0" applyFont="1" applyBorder="1" applyAlignment="1">
      <alignment horizontal="center"/>
    </xf>
    <xf numFmtId="167" fontId="3" fillId="6" borderId="47" xfId="0" applyFont="1" applyFill="1" applyBorder="1" applyAlignment="1" applyProtection="1">
      <alignment horizontal="center"/>
      <protection locked="0"/>
    </xf>
    <xf numFmtId="1" fontId="3" fillId="6" borderId="5" xfId="0" applyNumberFormat="1" applyFont="1" applyFill="1" applyBorder="1" applyAlignment="1" applyProtection="1">
      <alignment horizontal="center"/>
      <protection locked="0"/>
    </xf>
    <xf numFmtId="167" fontId="3" fillId="0" borderId="21" xfId="0" applyFont="1" applyBorder="1" applyAlignment="1" applyProtection="1">
      <alignment horizontal="center" vertical="center" wrapText="1"/>
      <protection locked="0"/>
    </xf>
    <xf numFmtId="167" fontId="3" fillId="0" borderId="0" xfId="0" applyFont="1" applyAlignment="1" applyProtection="1">
      <alignment horizontal="center" vertical="center" wrapText="1"/>
      <protection locked="0"/>
    </xf>
    <xf numFmtId="167" fontId="3" fillId="0" borderId="16" xfId="0" applyFont="1" applyBorder="1" applyAlignment="1" applyProtection="1">
      <alignment horizontal="center" vertical="center" wrapText="1"/>
      <protection locked="0"/>
    </xf>
    <xf numFmtId="167" fontId="3" fillId="0" borderId="28" xfId="0" applyFont="1" applyBorder="1" applyAlignment="1" applyProtection="1">
      <alignment horizontal="center" vertical="center" wrapText="1"/>
      <protection locked="0"/>
    </xf>
    <xf numFmtId="167" fontId="3" fillId="0" borderId="5" xfId="0" applyFont="1" applyBorder="1" applyAlignment="1" applyProtection="1">
      <alignment horizontal="center" vertical="center" wrapText="1"/>
      <protection locked="0"/>
    </xf>
    <xf numFmtId="167" fontId="3" fillId="0" borderId="50" xfId="0" applyFont="1" applyBorder="1" applyAlignment="1" applyProtection="1">
      <alignment horizontal="center" vertical="center" wrapText="1"/>
      <protection locked="0"/>
    </xf>
    <xf numFmtId="167" fontId="12" fillId="10" borderId="27" xfId="0" applyFont="1" applyFill="1" applyBorder="1" applyAlignment="1">
      <alignment horizontal="center" vertical="center"/>
    </xf>
    <xf numFmtId="167" fontId="12" fillId="10" borderId="37" xfId="0" applyFont="1" applyFill="1" applyBorder="1" applyAlignment="1">
      <alignment horizontal="center" vertical="center"/>
    </xf>
    <xf numFmtId="167" fontId="12" fillId="10" borderId="36" xfId="0" applyFont="1" applyFill="1" applyBorder="1" applyAlignment="1">
      <alignment horizontal="center" vertical="center"/>
    </xf>
    <xf numFmtId="167" fontId="12" fillId="10" borderId="24" xfId="0" applyFont="1" applyFill="1" applyBorder="1" applyAlignment="1">
      <alignment horizontal="center" vertical="center"/>
    </xf>
    <xf numFmtId="167" fontId="12" fillId="10" borderId="23" xfId="0" applyFont="1" applyFill="1" applyBorder="1" applyAlignment="1">
      <alignment horizontal="center" vertical="center"/>
    </xf>
    <xf numFmtId="167" fontId="3" fillId="0" borderId="7" xfId="0" applyFont="1" applyBorder="1" applyAlignment="1">
      <alignment horizontal="center" vertical="center"/>
    </xf>
    <xf numFmtId="167" fontId="3" fillId="0" borderId="8" xfId="0" applyFont="1" applyBorder="1" applyAlignment="1">
      <alignment horizontal="center" vertical="center"/>
    </xf>
    <xf numFmtId="167" fontId="3" fillId="0" borderId="9" xfId="0" applyFont="1" applyBorder="1" applyAlignment="1">
      <alignment horizontal="center" vertical="center"/>
    </xf>
    <xf numFmtId="167" fontId="12" fillId="10" borderId="27" xfId="0" applyFont="1" applyFill="1" applyBorder="1" applyAlignment="1" applyProtection="1">
      <alignment horizontal="center" vertical="center" wrapText="1"/>
      <protection locked="0"/>
    </xf>
    <xf numFmtId="167" fontId="12" fillId="10" borderId="45" xfId="0" applyFont="1" applyFill="1" applyBorder="1" applyAlignment="1" applyProtection="1">
      <alignment horizontal="center" vertical="center" wrapText="1"/>
      <protection locked="0"/>
    </xf>
    <xf numFmtId="167" fontId="3" fillId="6" borderId="1" xfId="0" applyFont="1" applyFill="1" applyBorder="1" applyAlignment="1" applyProtection="1">
      <alignment horizontal="center" vertical="center"/>
      <protection locked="0"/>
    </xf>
    <xf numFmtId="1" fontId="3" fillId="6" borderId="23" xfId="0" applyNumberFormat="1" applyFont="1" applyFill="1" applyBorder="1" applyAlignment="1" applyProtection="1">
      <alignment horizontal="center" vertical="center"/>
      <protection locked="0"/>
    </xf>
    <xf numFmtId="167" fontId="3" fillId="0" borderId="2" xfId="0" applyFont="1" applyBorder="1" applyAlignment="1">
      <alignment horizontal="center" vertical="center"/>
    </xf>
    <xf numFmtId="167" fontId="3" fillId="0" borderId="4" xfId="0" applyFont="1" applyBorder="1" applyAlignment="1">
      <alignment horizontal="center" vertical="center"/>
    </xf>
    <xf numFmtId="0" fontId="2" fillId="7" borderId="26" xfId="0" applyNumberFormat="1" applyFont="1" applyFill="1" applyBorder="1" applyAlignment="1">
      <alignment horizontal="center" vertical="center"/>
    </xf>
    <xf numFmtId="167" fontId="2" fillId="0" borderId="14" xfId="0" applyFont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0" fontId="2" fillId="7" borderId="16" xfId="0" applyNumberFormat="1" applyFont="1" applyFill="1" applyBorder="1" applyAlignment="1">
      <alignment horizontal="center" vertical="center"/>
    </xf>
    <xf numFmtId="167" fontId="3" fillId="0" borderId="22" xfId="0" applyFont="1" applyBorder="1" applyAlignment="1" applyProtection="1">
      <alignment horizontal="center" vertical="center" wrapText="1"/>
      <protection locked="0"/>
    </xf>
    <xf numFmtId="167" fontId="3" fillId="0" borderId="23" xfId="0" applyFont="1" applyBorder="1" applyAlignment="1" applyProtection="1">
      <alignment horizontal="center" vertical="center" wrapText="1"/>
      <protection locked="0"/>
    </xf>
    <xf numFmtId="167" fontId="3" fillId="0" borderId="33" xfId="0" applyFont="1" applyBorder="1" applyAlignment="1" applyProtection="1">
      <alignment horizontal="center" vertical="center" wrapText="1"/>
      <protection locked="0"/>
    </xf>
    <xf numFmtId="167" fontId="3" fillId="0" borderId="4" xfId="0" applyFont="1" applyBorder="1" applyAlignment="1" applyProtection="1">
      <alignment horizontal="center" vertical="center" wrapText="1"/>
      <protection locked="0"/>
    </xf>
    <xf numFmtId="167" fontId="3" fillId="0" borderId="6" xfId="0" applyFont="1" applyBorder="1" applyAlignment="1" applyProtection="1">
      <alignment horizontal="center" vertical="center" wrapText="1"/>
      <protection locked="0"/>
    </xf>
    <xf numFmtId="167" fontId="3" fillId="10" borderId="1" xfId="0" applyFont="1" applyFill="1" applyBorder="1" applyAlignment="1">
      <alignment horizontal="center" vertical="center"/>
    </xf>
    <xf numFmtId="167" fontId="3" fillId="10" borderId="0" xfId="0" applyFont="1" applyFill="1" applyAlignment="1">
      <alignment horizontal="center" vertical="center"/>
    </xf>
    <xf numFmtId="167" fontId="3" fillId="10" borderId="5" xfId="0" applyFont="1" applyFill="1" applyBorder="1" applyAlignment="1">
      <alignment horizontal="center" vertical="center"/>
    </xf>
    <xf numFmtId="167" fontId="1" fillId="0" borderId="19" xfId="0" applyFont="1" applyBorder="1" applyAlignment="1">
      <alignment horizontal="center" vertical="center"/>
    </xf>
    <xf numFmtId="167" fontId="1" fillId="0" borderId="20" xfId="0" applyFont="1" applyBorder="1" applyAlignment="1">
      <alignment horizontal="center" vertical="center"/>
    </xf>
    <xf numFmtId="167" fontId="1" fillId="0" borderId="3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4%20Interim%20Payroll%20Form%20Rev%2011-28-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Old W4 Calculation"/>
      <sheetName val="New W4 Calculation"/>
      <sheetName val="Speedtime"/>
      <sheetName val="OTO Upload"/>
      <sheetName val="Data"/>
    </sheetNames>
    <sheetDataSet>
      <sheetData sheetId="0" refreshError="1">
        <row r="3">
          <cell r="H3" t="str">
            <v>B</v>
          </cell>
        </row>
        <row r="9">
          <cell r="D9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90"/>
  <sheetViews>
    <sheetView tabSelected="1" zoomScaleNormal="100" workbookViewId="0">
      <selection activeCell="C2" sqref="C2:F2"/>
    </sheetView>
  </sheetViews>
  <sheetFormatPr defaultRowHeight="15"/>
  <cols>
    <col min="1" max="1" width="5" customWidth="1"/>
    <col min="2" max="2" width="30.77734375" customWidth="1"/>
    <col min="3" max="3" width="10.77734375" customWidth="1"/>
    <col min="4" max="4" width="1.77734375" customWidth="1"/>
    <col min="5" max="5" width="4.77734375" customWidth="1"/>
    <col min="6" max="6" width="16.77734375" customWidth="1"/>
    <col min="7" max="7" width="14.33203125" customWidth="1"/>
    <col min="8" max="8" width="6.77734375" hidden="1" customWidth="1"/>
    <col min="9" max="9" width="8.33203125" hidden="1" customWidth="1"/>
    <col min="10" max="12" width="11.88671875" hidden="1" customWidth="1"/>
    <col min="13" max="13" width="5.5546875" hidden="1" customWidth="1"/>
    <col min="14" max="15" width="14.88671875" hidden="1" customWidth="1"/>
    <col min="16" max="16" width="10.6640625" hidden="1" customWidth="1"/>
    <col min="17" max="17" width="8.109375" hidden="1" customWidth="1"/>
    <col min="18" max="18" width="9" hidden="1" customWidth="1"/>
    <col min="19" max="19" width="5.77734375" hidden="1" customWidth="1"/>
    <col min="20" max="20" width="6.21875" hidden="1" customWidth="1"/>
    <col min="21" max="21" width="3" hidden="1" customWidth="1"/>
    <col min="22" max="22" width="5.33203125" hidden="1" customWidth="1"/>
    <col min="23" max="23" width="7.21875" hidden="1" customWidth="1"/>
    <col min="24" max="24" width="7.77734375" hidden="1" customWidth="1"/>
    <col min="25" max="25" width="5.21875" hidden="1" customWidth="1"/>
    <col min="26" max="26" width="10.5546875" hidden="1" customWidth="1"/>
    <col min="27" max="27" width="5.5546875" hidden="1" customWidth="1"/>
    <col min="28" max="28" width="16.109375" hidden="1" customWidth="1"/>
    <col min="29" max="29" width="10.77734375" hidden="1" customWidth="1"/>
    <col min="30" max="30" width="8.88671875" hidden="1" customWidth="1"/>
    <col min="31" max="31" width="10.109375" hidden="1" customWidth="1"/>
    <col min="32" max="44" width="8.88671875" hidden="1" customWidth="1"/>
  </cols>
  <sheetData>
    <row r="1" spans="1:45" ht="27" customHeight="1" thickBot="1">
      <c r="A1" s="17"/>
      <c r="B1" s="174" t="s">
        <v>178</v>
      </c>
      <c r="C1" s="175"/>
      <c r="D1" s="175"/>
      <c r="E1" s="175"/>
      <c r="F1" s="175"/>
      <c r="G1" s="176"/>
      <c r="N1" s="23"/>
      <c r="O1" s="27" t="s">
        <v>151</v>
      </c>
      <c r="P1" s="38"/>
      <c r="Q1" s="1" t="s">
        <v>0</v>
      </c>
      <c r="W1" t="s">
        <v>127</v>
      </c>
      <c r="X1" s="6"/>
    </row>
    <row r="2" spans="1:45" ht="20.25" customHeight="1">
      <c r="A2" s="143"/>
      <c r="B2" s="144" t="s">
        <v>115</v>
      </c>
      <c r="C2" s="186"/>
      <c r="D2" s="186"/>
      <c r="E2" s="186"/>
      <c r="F2" s="186"/>
      <c r="G2" s="16"/>
      <c r="N2" s="24" t="s">
        <v>1</v>
      </c>
      <c r="O2" s="24" t="s">
        <v>104</v>
      </c>
      <c r="P2" s="39" t="s">
        <v>2</v>
      </c>
      <c r="W2" t="s">
        <v>128</v>
      </c>
      <c r="X2" t="s">
        <v>129</v>
      </c>
      <c r="AC2" s="145"/>
      <c r="AD2" s="145"/>
    </row>
    <row r="3" spans="1:45" ht="20.25" customHeight="1" thickBot="1">
      <c r="A3" s="143"/>
      <c r="B3" s="146" t="s">
        <v>116</v>
      </c>
      <c r="C3" s="187"/>
      <c r="D3" s="187"/>
      <c r="E3" s="187"/>
      <c r="F3" s="187"/>
      <c r="G3" s="17"/>
      <c r="I3" t="s">
        <v>6</v>
      </c>
      <c r="N3" s="18">
        <v>0</v>
      </c>
      <c r="O3" s="18">
        <v>0</v>
      </c>
      <c r="P3" s="38">
        <v>0</v>
      </c>
      <c r="Q3" s="1" t="s">
        <v>3</v>
      </c>
      <c r="R3" s="1" t="s">
        <v>4</v>
      </c>
      <c r="W3" s="3" t="s">
        <v>130</v>
      </c>
      <c r="X3" s="15">
        <v>0.09</v>
      </c>
      <c r="AC3" s="145"/>
      <c r="AD3" s="145"/>
    </row>
    <row r="4" spans="1:45" ht="16.5" thickBot="1">
      <c r="A4" s="143"/>
      <c r="B4" s="183"/>
      <c r="C4" s="184"/>
      <c r="D4" s="184"/>
      <c r="E4" s="184"/>
      <c r="F4" s="184"/>
      <c r="G4" s="185"/>
      <c r="N4" s="31">
        <v>6000</v>
      </c>
      <c r="O4" s="31">
        <v>0</v>
      </c>
      <c r="P4" s="38">
        <v>0.1</v>
      </c>
      <c r="Q4" s="1"/>
      <c r="R4" s="1"/>
      <c r="W4" s="3"/>
      <c r="X4" s="15"/>
      <c r="AC4" s="145"/>
      <c r="AD4" s="145"/>
    </row>
    <row r="5" spans="1:45" s="3" customFormat="1" ht="15.75" customHeight="1">
      <c r="A5" s="147"/>
      <c r="B5" s="148" t="s">
        <v>5</v>
      </c>
      <c r="C5" s="76">
        <v>0</v>
      </c>
      <c r="D5" s="149"/>
      <c r="E5" s="150"/>
      <c r="F5" s="72" t="s">
        <v>21</v>
      </c>
      <c r="G5" s="151">
        <f>(C11*C12)+((C13*1.5)*C11)</f>
        <v>0</v>
      </c>
      <c r="I5" s="5">
        <f>IF((C7=I3),2,0)</f>
        <v>0</v>
      </c>
      <c r="L5" s="2" t="s">
        <v>7</v>
      </c>
      <c r="N5" s="31">
        <v>17600</v>
      </c>
      <c r="O5" s="31">
        <v>1160</v>
      </c>
      <c r="P5" s="38">
        <v>0.12</v>
      </c>
      <c r="Q5" s="2" t="s">
        <v>8</v>
      </c>
      <c r="R5" s="2" t="s">
        <v>9</v>
      </c>
      <c r="W5" s="3" t="s">
        <v>132</v>
      </c>
      <c r="X5" s="15">
        <v>0.05</v>
      </c>
      <c r="AB5" s="152"/>
      <c r="AF5" s="152"/>
      <c r="AS5" s="153"/>
    </row>
    <row r="6" spans="1:45" s="3" customFormat="1" ht="15.75" customHeight="1">
      <c r="A6" s="154"/>
      <c r="B6" s="195" t="s">
        <v>10</v>
      </c>
      <c r="C6" s="194"/>
      <c r="D6" s="155"/>
      <c r="E6" s="150"/>
      <c r="F6" s="72" t="s">
        <v>101</v>
      </c>
      <c r="G6" s="151">
        <f>G5-G13-G14-G16</f>
        <v>0</v>
      </c>
      <c r="I6" s="2" t="s">
        <v>6</v>
      </c>
      <c r="L6" s="2" t="s">
        <v>7</v>
      </c>
      <c r="N6" s="31">
        <v>53150</v>
      </c>
      <c r="O6" s="31">
        <v>5426</v>
      </c>
      <c r="P6" s="38">
        <v>0.22</v>
      </c>
      <c r="R6" s="2" t="s">
        <v>11</v>
      </c>
      <c r="W6" s="3" t="s">
        <v>133</v>
      </c>
      <c r="X6" s="15">
        <v>0.01</v>
      </c>
      <c r="AB6" s="152"/>
      <c r="AF6" s="152"/>
      <c r="AS6" s="153"/>
    </row>
    <row r="7" spans="1:45" s="3" customFormat="1" ht="15.75" customHeight="1">
      <c r="A7" s="154"/>
      <c r="B7" s="83" t="s">
        <v>163</v>
      </c>
      <c r="C7" s="70" t="s">
        <v>170</v>
      </c>
      <c r="D7" s="156"/>
      <c r="E7" s="150"/>
      <c r="F7" s="72" t="s">
        <v>103</v>
      </c>
      <c r="G7" s="151">
        <f>G5-G16</f>
        <v>0</v>
      </c>
      <c r="I7" s="40">
        <f>IF((C9=I6),1,0)</f>
        <v>0</v>
      </c>
      <c r="L7" s="2" t="s">
        <v>7</v>
      </c>
      <c r="N7" s="31">
        <v>106525</v>
      </c>
      <c r="O7" s="31">
        <v>17168.5</v>
      </c>
      <c r="P7" s="38">
        <v>0.24</v>
      </c>
      <c r="R7" s="2" t="s">
        <v>12</v>
      </c>
      <c r="W7" s="3" t="s">
        <v>140</v>
      </c>
      <c r="X7" s="15">
        <v>0.1</v>
      </c>
      <c r="AB7" s="152"/>
      <c r="AF7" s="152"/>
      <c r="AS7" s="153"/>
    </row>
    <row r="8" spans="1:45" s="3" customFormat="1" ht="15.75" customHeight="1">
      <c r="A8" s="154"/>
      <c r="B8" s="194" t="s">
        <v>13</v>
      </c>
      <c r="C8" s="194"/>
      <c r="D8" s="157"/>
      <c r="E8" s="77"/>
      <c r="F8" s="78" t="s">
        <v>102</v>
      </c>
      <c r="G8" s="158">
        <f>G5</f>
        <v>0</v>
      </c>
      <c r="I8" s="5">
        <f>I7</f>
        <v>0</v>
      </c>
      <c r="J8" s="4">
        <f>CHOOSE($I$8+1,N3,N15)</f>
        <v>0</v>
      </c>
      <c r="K8" s="4">
        <f>CHOOSE($I$8+1,N3,N15)</f>
        <v>0</v>
      </c>
      <c r="L8" s="4">
        <f>CHOOSE($I$8+1,O3,O15,)</f>
        <v>0</v>
      </c>
      <c r="M8" s="3">
        <f>CHOOSE($I$8+1,P3,P15)</f>
        <v>0</v>
      </c>
      <c r="N8" s="31">
        <v>197950</v>
      </c>
      <c r="O8" s="31">
        <v>39110.5</v>
      </c>
      <c r="P8" s="38">
        <v>0.32</v>
      </c>
      <c r="W8" s="3" t="s">
        <v>134</v>
      </c>
      <c r="X8" s="15">
        <v>0.16</v>
      </c>
      <c r="AB8" s="152"/>
      <c r="AF8" s="152"/>
      <c r="AS8" s="153"/>
    </row>
    <row r="9" spans="1:45" s="3" customFormat="1" ht="15.75" customHeight="1">
      <c r="A9" s="154"/>
      <c r="B9" s="83" t="s">
        <v>165</v>
      </c>
      <c r="C9" s="70" t="s">
        <v>119</v>
      </c>
      <c r="D9" s="156"/>
      <c r="E9" s="72"/>
      <c r="F9" s="72" t="s">
        <v>16</v>
      </c>
      <c r="G9" s="151">
        <f>ROUND((((((I10-VLOOKUP(I10,J8:M17,2)))*VLOOKUP(I10,J8:M17,4))+VLOOKUP(I10,J8:M17,3))/I15)+C14,2)</f>
        <v>0</v>
      </c>
      <c r="I9" s="3">
        <f>O83/I15</f>
        <v>165.38461538461539</v>
      </c>
      <c r="J9" s="4">
        <f>CHOOSE($I$8+1,0,N16)</f>
        <v>0</v>
      </c>
      <c r="K9" s="4">
        <f>CHOOSE($I$8+1,0,N16)</f>
        <v>0</v>
      </c>
      <c r="L9" s="4">
        <f>CHOOSE($I$8+1,0,O16,)</f>
        <v>0</v>
      </c>
      <c r="M9" s="3">
        <f>CHOOSE($I$8+1,0,P16)</f>
        <v>0</v>
      </c>
      <c r="N9" s="31">
        <v>249725</v>
      </c>
      <c r="O9" s="31">
        <v>55678.5</v>
      </c>
      <c r="P9" s="38">
        <v>0.35</v>
      </c>
      <c r="Q9" s="2" t="s">
        <v>14</v>
      </c>
      <c r="R9" s="2" t="s">
        <v>15</v>
      </c>
      <c r="W9" s="3" t="s">
        <v>119</v>
      </c>
      <c r="X9" s="15">
        <v>4.8000000000000001E-2</v>
      </c>
      <c r="AB9" s="152"/>
      <c r="AF9" s="152"/>
      <c r="AS9" s="153"/>
    </row>
    <row r="10" spans="1:45" s="3" customFormat="1" ht="15.75" customHeight="1">
      <c r="A10" s="154"/>
      <c r="B10" s="194" t="s">
        <v>21</v>
      </c>
      <c r="C10" s="194"/>
      <c r="D10" s="157"/>
      <c r="E10" s="150"/>
      <c r="F10" s="72" t="s">
        <v>27</v>
      </c>
      <c r="G10" s="151">
        <f>ROUND((((((I45-VLOOKUP(I45,J40:M48,2)))*VLOOKUP(I45,J40:M48,4))+VLOOKUP(I45,J40:M48,3))/I47)+C15,2)</f>
        <v>0</v>
      </c>
      <c r="I10" s="41">
        <f>IF(I14&lt;0,0,I16)</f>
        <v>0</v>
      </c>
      <c r="J10" s="4">
        <f t="shared" ref="J10:J17" si="0">CHOOSE($I$8+1,N5,N17)</f>
        <v>17600</v>
      </c>
      <c r="K10" s="4">
        <f t="shared" ref="K10:K17" si="1">CHOOSE($I$8+1,N5,N17)</f>
        <v>17600</v>
      </c>
      <c r="L10" s="4">
        <f t="shared" ref="L10:L17" si="2">CHOOSE($I$8+1,O5,O17,)</f>
        <v>1160</v>
      </c>
      <c r="M10" s="3">
        <f t="shared" ref="M10:M17" si="3">CHOOSE($I$8+1,P5,P17)</f>
        <v>0.12</v>
      </c>
      <c r="N10" s="31">
        <v>615350</v>
      </c>
      <c r="O10" s="31">
        <v>183647.25</v>
      </c>
      <c r="P10" s="38">
        <v>0.37</v>
      </c>
      <c r="R10" s="2" t="s">
        <v>17</v>
      </c>
      <c r="W10" s="3" t="s">
        <v>124</v>
      </c>
      <c r="X10" s="15">
        <v>9.7799999999999998E-2</v>
      </c>
      <c r="AB10" s="152"/>
      <c r="AF10" s="152"/>
      <c r="AS10" s="153"/>
    </row>
    <row r="11" spans="1:45" s="3" customFormat="1" ht="15.75" customHeight="1">
      <c r="A11" s="154"/>
      <c r="B11" s="83" t="s">
        <v>125</v>
      </c>
      <c r="C11" s="86">
        <v>0</v>
      </c>
      <c r="D11" s="156"/>
      <c r="E11" s="150"/>
      <c r="F11" s="72" t="s">
        <v>117</v>
      </c>
      <c r="G11" s="151">
        <f>ROUND(G$7*6.2/100,2)</f>
        <v>0</v>
      </c>
      <c r="I11" s="2" t="s">
        <v>18</v>
      </c>
      <c r="J11" s="4">
        <f t="shared" si="0"/>
        <v>53150</v>
      </c>
      <c r="K11" s="4">
        <f t="shared" si="1"/>
        <v>53150</v>
      </c>
      <c r="L11" s="4">
        <f t="shared" si="2"/>
        <v>5426</v>
      </c>
      <c r="M11" s="3">
        <f t="shared" si="3"/>
        <v>0.22</v>
      </c>
      <c r="N11" s="18">
        <v>9999999999</v>
      </c>
      <c r="O11" s="18">
        <v>9999999999</v>
      </c>
      <c r="P11" s="38">
        <v>1</v>
      </c>
      <c r="R11" s="2" t="s">
        <v>20</v>
      </c>
      <c r="AB11" s="152"/>
      <c r="AF11" s="152"/>
      <c r="AS11" s="153"/>
    </row>
    <row r="12" spans="1:45" s="3" customFormat="1" ht="15.75" customHeight="1">
      <c r="A12" s="154"/>
      <c r="B12" s="83" t="s">
        <v>126</v>
      </c>
      <c r="C12" s="89">
        <v>1</v>
      </c>
      <c r="D12" s="156"/>
      <c r="E12" s="150"/>
      <c r="F12" s="72" t="s">
        <v>118</v>
      </c>
      <c r="G12" s="151">
        <f>ROUND(G$7*1.45/100,2)</f>
        <v>0</v>
      </c>
      <c r="I12" s="41">
        <f>IF(C17=I11,G13,0)</f>
        <v>0</v>
      </c>
      <c r="J12" s="4">
        <f t="shared" si="0"/>
        <v>106525</v>
      </c>
      <c r="K12" s="4">
        <f t="shared" si="1"/>
        <v>106525</v>
      </c>
      <c r="L12" s="4">
        <f t="shared" si="2"/>
        <v>17168.5</v>
      </c>
      <c r="M12" s="3">
        <f t="shared" si="3"/>
        <v>0.24</v>
      </c>
      <c r="N12" s="18">
        <v>9999999999</v>
      </c>
      <c r="O12" s="18">
        <v>9999999999</v>
      </c>
      <c r="P12" s="38">
        <v>1</v>
      </c>
      <c r="V12"/>
      <c r="Y12"/>
      <c r="AB12" s="152"/>
      <c r="AF12" s="152"/>
      <c r="AS12" s="153"/>
    </row>
    <row r="13" spans="1:45" s="3" customFormat="1" ht="15.75" customHeight="1">
      <c r="A13" s="154"/>
      <c r="B13" s="94" t="s">
        <v>137</v>
      </c>
      <c r="C13" s="95">
        <v>0</v>
      </c>
      <c r="D13" s="156"/>
      <c r="E13" s="150"/>
      <c r="F13" s="72" t="s">
        <v>22</v>
      </c>
      <c r="G13" s="151">
        <f>IF(C17="Y",ROUND(G5*C20,2),0)</f>
        <v>0</v>
      </c>
      <c r="J13" s="4">
        <f t="shared" si="0"/>
        <v>197950</v>
      </c>
      <c r="K13" s="4">
        <f t="shared" si="1"/>
        <v>197950</v>
      </c>
      <c r="L13" s="4">
        <f t="shared" si="2"/>
        <v>39110.5</v>
      </c>
      <c r="M13" s="3">
        <f t="shared" si="3"/>
        <v>0.32</v>
      </c>
      <c r="N13" s="19"/>
      <c r="O13" s="19"/>
      <c r="P13" s="19"/>
      <c r="Q13" s="2" t="s">
        <v>23</v>
      </c>
      <c r="R13" s="2" t="s">
        <v>24</v>
      </c>
      <c r="V13"/>
      <c r="W13" s="42" t="s">
        <v>136</v>
      </c>
      <c r="X13"/>
      <c r="Y13"/>
      <c r="AB13" s="152"/>
      <c r="AF13" s="152"/>
      <c r="AS13" s="153"/>
    </row>
    <row r="14" spans="1:45" s="3" customFormat="1" ht="15.75" customHeight="1">
      <c r="A14" s="154"/>
      <c r="B14" s="83" t="s">
        <v>120</v>
      </c>
      <c r="C14" s="97">
        <v>0</v>
      </c>
      <c r="D14" s="156"/>
      <c r="E14" s="77"/>
      <c r="F14" s="78" t="s">
        <v>31</v>
      </c>
      <c r="G14" s="158">
        <f>C21</f>
        <v>0</v>
      </c>
      <c r="I14" s="3">
        <f>G5-(I9*C5)-I12-G16-G14</f>
        <v>0</v>
      </c>
      <c r="J14" s="4">
        <f t="shared" si="0"/>
        <v>249725</v>
      </c>
      <c r="K14" s="4">
        <f t="shared" si="1"/>
        <v>249725</v>
      </c>
      <c r="L14" s="4">
        <f t="shared" si="2"/>
        <v>55678.5</v>
      </c>
      <c r="M14" s="3">
        <f t="shared" si="3"/>
        <v>0.35</v>
      </c>
      <c r="N14" s="25" t="s">
        <v>1</v>
      </c>
      <c r="O14" s="25" t="s">
        <v>104</v>
      </c>
      <c r="P14" s="39" t="s">
        <v>19</v>
      </c>
      <c r="Q14" s="2" t="s">
        <v>25</v>
      </c>
      <c r="R14" s="2" t="s">
        <v>26</v>
      </c>
      <c r="V14"/>
      <c r="W14" t="s">
        <v>128</v>
      </c>
      <c r="X14" t="s">
        <v>129</v>
      </c>
      <c r="Y14"/>
      <c r="AA14" s="3">
        <v>185</v>
      </c>
      <c r="AB14" s="152"/>
      <c r="AF14" s="152"/>
      <c r="AS14" s="153"/>
    </row>
    <row r="15" spans="1:45" s="3" customFormat="1" ht="15.75" customHeight="1">
      <c r="A15" s="154"/>
      <c r="B15" s="83" t="s">
        <v>121</v>
      </c>
      <c r="C15" s="97">
        <v>0</v>
      </c>
      <c r="D15" s="156"/>
      <c r="E15" s="150"/>
      <c r="F15" s="72" t="s">
        <v>149</v>
      </c>
      <c r="G15" s="151">
        <f>SUM(C33:C40)</f>
        <v>0</v>
      </c>
      <c r="I15" s="5">
        <f>IF(C$7="b",26,IF(C$7="M",12,1))</f>
        <v>26</v>
      </c>
      <c r="J15" s="4">
        <f t="shared" si="0"/>
        <v>615350</v>
      </c>
      <c r="K15" s="4">
        <f t="shared" si="1"/>
        <v>615350</v>
      </c>
      <c r="L15" s="4">
        <f t="shared" si="2"/>
        <v>183647.25</v>
      </c>
      <c r="M15" s="3">
        <f t="shared" si="3"/>
        <v>0.37</v>
      </c>
      <c r="N15" s="18">
        <v>0</v>
      </c>
      <c r="O15" s="18">
        <v>0</v>
      </c>
      <c r="P15" s="38">
        <v>0</v>
      </c>
      <c r="Q15" s="2" t="s">
        <v>28</v>
      </c>
      <c r="R15" s="2" t="s">
        <v>29</v>
      </c>
      <c r="V15"/>
      <c r="W15" s="3" t="s">
        <v>130</v>
      </c>
      <c r="X15" s="43">
        <v>0</v>
      </c>
      <c r="Y15"/>
      <c r="AA15" s="3">
        <v>90</v>
      </c>
      <c r="AB15" s="152"/>
      <c r="AF15" s="152"/>
      <c r="AS15" s="153"/>
    </row>
    <row r="16" spans="1:45" s="3" customFormat="1" ht="15.75" customHeight="1" thickBot="1">
      <c r="A16" s="154"/>
      <c r="B16" s="194" t="s">
        <v>22</v>
      </c>
      <c r="C16" s="194"/>
      <c r="D16" s="157"/>
      <c r="E16" s="150"/>
      <c r="F16" s="72" t="s">
        <v>150</v>
      </c>
      <c r="G16" s="151">
        <f>SUM(C24:C31)</f>
        <v>0</v>
      </c>
      <c r="I16" s="3">
        <f>I14*I15</f>
        <v>0</v>
      </c>
      <c r="J16" s="4">
        <f t="shared" si="0"/>
        <v>9999999999</v>
      </c>
      <c r="K16" s="4">
        <f t="shared" si="1"/>
        <v>9999999999</v>
      </c>
      <c r="L16" s="4">
        <f t="shared" si="2"/>
        <v>9999999999</v>
      </c>
      <c r="M16" s="3">
        <f t="shared" si="3"/>
        <v>1</v>
      </c>
      <c r="N16" s="31">
        <v>16300</v>
      </c>
      <c r="O16" s="31">
        <v>0</v>
      </c>
      <c r="P16" s="38">
        <v>0.1</v>
      </c>
      <c r="R16" s="2" t="s">
        <v>30</v>
      </c>
      <c r="V16"/>
      <c r="W16" s="3" t="s">
        <v>131</v>
      </c>
      <c r="X16" s="43">
        <v>0</v>
      </c>
      <c r="Y16"/>
      <c r="AB16" s="152"/>
      <c r="AF16" s="152"/>
      <c r="AS16" s="153"/>
    </row>
    <row r="17" spans="1:45" s="3" customFormat="1" ht="15.75" customHeight="1" thickBot="1">
      <c r="A17" s="154"/>
      <c r="B17" s="83" t="s">
        <v>139</v>
      </c>
      <c r="C17" s="103" t="s">
        <v>173</v>
      </c>
      <c r="D17" s="159"/>
      <c r="E17" s="90"/>
      <c r="F17" s="91" t="s">
        <v>114</v>
      </c>
      <c r="G17" s="160">
        <f>G5-SUM(G9:G16)</f>
        <v>0</v>
      </c>
      <c r="J17" s="4">
        <f t="shared" si="0"/>
        <v>9999999999</v>
      </c>
      <c r="K17" s="4">
        <f t="shared" si="1"/>
        <v>9999999999</v>
      </c>
      <c r="L17" s="4">
        <f t="shared" si="2"/>
        <v>9999999999</v>
      </c>
      <c r="M17" s="3">
        <f t="shared" si="3"/>
        <v>1</v>
      </c>
      <c r="N17" s="31">
        <v>39500</v>
      </c>
      <c r="O17" s="31">
        <v>2320</v>
      </c>
      <c r="P17" s="38">
        <v>0.12</v>
      </c>
      <c r="V17"/>
      <c r="W17" s="3" t="s">
        <v>132</v>
      </c>
      <c r="X17" s="43">
        <v>0</v>
      </c>
      <c r="Y17"/>
      <c r="AB17" s="161"/>
      <c r="AF17" s="161"/>
      <c r="AS17" s="153"/>
    </row>
    <row r="18" spans="1:45" s="3" customFormat="1" ht="15.75" customHeight="1" thickBot="1">
      <c r="A18" s="154"/>
      <c r="B18" s="83" t="s">
        <v>177</v>
      </c>
      <c r="C18" s="108" t="s">
        <v>123</v>
      </c>
      <c r="D18" s="156"/>
      <c r="E18" s="150"/>
      <c r="F18" s="150"/>
      <c r="G18" s="162"/>
      <c r="H18" s="7"/>
      <c r="I18" s="7"/>
      <c r="J18" s="181" t="s">
        <v>108</v>
      </c>
      <c r="K18" s="182"/>
      <c r="L18" s="8"/>
      <c r="N18" s="31">
        <v>110600</v>
      </c>
      <c r="O18" s="31">
        <v>10852</v>
      </c>
      <c r="P18" s="38">
        <v>0.22</v>
      </c>
      <c r="Q18" s="2" t="s">
        <v>32</v>
      </c>
      <c r="R18" s="2" t="s">
        <v>33</v>
      </c>
      <c r="V18"/>
      <c r="W18" s="3" t="s">
        <v>133</v>
      </c>
      <c r="X18" s="43">
        <v>0</v>
      </c>
      <c r="Y18"/>
      <c r="AS18" s="153"/>
    </row>
    <row r="19" spans="1:45" s="3" customFormat="1" ht="15.75" customHeight="1" thickBot="1">
      <c r="A19" s="154"/>
      <c r="B19" s="112" t="s">
        <v>166</v>
      </c>
      <c r="C19" s="108" t="s">
        <v>119</v>
      </c>
      <c r="D19" s="159"/>
      <c r="E19" s="90"/>
      <c r="F19" s="91" t="s">
        <v>47</v>
      </c>
      <c r="G19" s="163"/>
      <c r="H19" s="44"/>
      <c r="I19" s="44"/>
      <c r="J19" s="9" t="s">
        <v>109</v>
      </c>
      <c r="K19" s="10">
        <v>435</v>
      </c>
      <c r="L19" s="11" t="s">
        <v>110</v>
      </c>
      <c r="N19" s="31">
        <v>217350</v>
      </c>
      <c r="O19" s="31">
        <v>34337</v>
      </c>
      <c r="P19" s="38">
        <v>0.24</v>
      </c>
      <c r="Q19" s="2" t="s">
        <v>25</v>
      </c>
      <c r="R19" s="2" t="s">
        <v>34</v>
      </c>
      <c r="V19"/>
      <c r="W19" s="3" t="s">
        <v>140</v>
      </c>
      <c r="X19" s="43">
        <v>0</v>
      </c>
      <c r="Y19"/>
      <c r="AB19" s="161"/>
      <c r="AS19" s="153"/>
    </row>
    <row r="20" spans="1:45" s="3" customFormat="1" ht="15.75" customHeight="1">
      <c r="A20" s="154"/>
      <c r="B20" s="83" t="s">
        <v>138</v>
      </c>
      <c r="C20" s="164">
        <f>IF(C19="S",4.8%,IF(C19="J1",9%,IF(C19="J2",7%,IF(C19="J3",5%,IF(C19="J4",1%,IF(C19="J5",10%,IF(C19="P",16%,IF(C19="T",9.78%,"ERROR"))))))))</f>
        <v>4.8000000000000001E-2</v>
      </c>
      <c r="D20" s="156"/>
      <c r="E20" s="150"/>
      <c r="F20" s="72" t="s">
        <v>117</v>
      </c>
      <c r="G20" s="151">
        <f>ROUND(G$7*6.2/100,2)</f>
        <v>0</v>
      </c>
      <c r="H20" s="44"/>
      <c r="I20" s="44"/>
      <c r="J20" s="9" t="s">
        <v>111</v>
      </c>
      <c r="K20" s="10">
        <v>942.5</v>
      </c>
      <c r="L20" s="11" t="s">
        <v>110</v>
      </c>
      <c r="N20" s="31">
        <v>400200</v>
      </c>
      <c r="O20" s="31">
        <v>78221</v>
      </c>
      <c r="P20" s="38">
        <v>0.32</v>
      </c>
      <c r="Q20" s="2" t="s">
        <v>35</v>
      </c>
      <c r="V20"/>
      <c r="W20" s="3" t="s">
        <v>134</v>
      </c>
      <c r="X20" s="43">
        <v>1</v>
      </c>
      <c r="Y20"/>
      <c r="AB20" s="152"/>
      <c r="AS20" s="153"/>
    </row>
    <row r="21" spans="1:45" s="3" customFormat="1" ht="15.75" customHeight="1">
      <c r="A21" s="154"/>
      <c r="B21" s="83" t="s">
        <v>174</v>
      </c>
      <c r="C21" s="97">
        <v>0</v>
      </c>
      <c r="D21" s="156"/>
      <c r="E21" s="150"/>
      <c r="F21" s="72" t="s">
        <v>118</v>
      </c>
      <c r="G21" s="151">
        <f>ROUND(G$7*1.45/100,2)</f>
        <v>0</v>
      </c>
      <c r="H21" s="44"/>
      <c r="I21" s="44"/>
      <c r="J21" s="45"/>
      <c r="K21" s="45"/>
      <c r="L21" s="11"/>
      <c r="N21" s="31">
        <v>503750</v>
      </c>
      <c r="O21" s="31">
        <v>111357</v>
      </c>
      <c r="P21" s="38">
        <v>0.35</v>
      </c>
      <c r="Q21" s="2" t="s">
        <v>36</v>
      </c>
      <c r="R21" s="2" t="s">
        <v>37</v>
      </c>
      <c r="W21" s="3" t="s">
        <v>119</v>
      </c>
      <c r="X21" s="43">
        <v>1.56</v>
      </c>
      <c r="AB21" s="152"/>
      <c r="AS21" s="153"/>
    </row>
    <row r="22" spans="1:45" s="3" customFormat="1" ht="15.75" customHeight="1">
      <c r="A22" s="154"/>
      <c r="B22" s="198" t="s">
        <v>38</v>
      </c>
      <c r="C22" s="198"/>
      <c r="D22" s="157"/>
      <c r="E22" s="71"/>
      <c r="F22" s="105" t="s">
        <v>135</v>
      </c>
      <c r="G22" s="165">
        <f>+(G13*VLOOKUP(C19,W15:X22,2,0))</f>
        <v>0</v>
      </c>
      <c r="H22" s="44"/>
      <c r="I22" s="44"/>
      <c r="J22" s="179" t="s">
        <v>112</v>
      </c>
      <c r="K22" s="180"/>
      <c r="L22" s="11"/>
      <c r="N22" s="31">
        <v>747500</v>
      </c>
      <c r="O22" s="31">
        <v>196669.5</v>
      </c>
      <c r="P22" s="38">
        <v>0.37</v>
      </c>
      <c r="R22" s="2" t="s">
        <v>39</v>
      </c>
      <c r="W22" s="3" t="s">
        <v>124</v>
      </c>
      <c r="X22" s="43">
        <v>1.01</v>
      </c>
      <c r="AB22" s="166"/>
      <c r="AS22" s="153"/>
    </row>
    <row r="23" spans="1:45" s="3" customFormat="1" ht="15.75" customHeight="1">
      <c r="A23" s="154"/>
      <c r="B23" s="196" t="s">
        <v>147</v>
      </c>
      <c r="C23" s="197"/>
      <c r="D23" s="167"/>
      <c r="E23" s="177" t="s">
        <v>164</v>
      </c>
      <c r="F23" s="177"/>
      <c r="G23" s="178"/>
      <c r="H23" s="46">
        <v>788.97</v>
      </c>
      <c r="I23" s="45"/>
      <c r="J23" s="9" t="s">
        <v>109</v>
      </c>
      <c r="K23" s="10">
        <v>580</v>
      </c>
      <c r="L23" s="11" t="s">
        <v>110</v>
      </c>
      <c r="N23" s="18">
        <v>9999999999</v>
      </c>
      <c r="O23" s="18">
        <v>9999999999</v>
      </c>
      <c r="P23" s="38">
        <v>1</v>
      </c>
      <c r="AS23" s="153"/>
    </row>
    <row r="24" spans="1:45" s="3" customFormat="1" ht="15.75" customHeight="1">
      <c r="A24" s="154"/>
      <c r="B24" s="83" t="s">
        <v>141</v>
      </c>
      <c r="C24" s="97">
        <v>0</v>
      </c>
      <c r="D24" s="156"/>
      <c r="E24" s="188"/>
      <c r="F24" s="189"/>
      <c r="G24" s="190"/>
      <c r="H24" s="47"/>
      <c r="I24" s="45"/>
      <c r="J24" s="9" t="s">
        <v>111</v>
      </c>
      <c r="K24" s="10">
        <v>1256.6600000000001</v>
      </c>
      <c r="L24" s="11" t="s">
        <v>110</v>
      </c>
      <c r="N24" s="18">
        <v>9999999999</v>
      </c>
      <c r="O24" s="18">
        <v>9999999999</v>
      </c>
      <c r="P24" s="38">
        <v>1</v>
      </c>
      <c r="Q24" s="2" t="s">
        <v>40</v>
      </c>
      <c r="R24" s="2" t="s">
        <v>41</v>
      </c>
      <c r="AS24" s="153"/>
    </row>
    <row r="25" spans="1:45" s="3" customFormat="1" ht="15.75" customHeight="1">
      <c r="A25" s="154"/>
      <c r="B25" s="83" t="s">
        <v>142</v>
      </c>
      <c r="C25" s="97">
        <v>0</v>
      </c>
      <c r="D25" s="156"/>
      <c r="E25" s="188"/>
      <c r="F25" s="189"/>
      <c r="G25" s="190"/>
      <c r="H25" s="47">
        <f>IF(G24-K19&lt;=0,0,G24)</f>
        <v>0</v>
      </c>
      <c r="I25" s="45"/>
      <c r="J25" s="44"/>
      <c r="K25" s="44"/>
      <c r="L25" s="11"/>
      <c r="N25" s="18"/>
      <c r="O25" s="18"/>
      <c r="P25" s="38"/>
      <c r="R25" s="2" t="s">
        <v>42</v>
      </c>
      <c r="AS25" s="153"/>
    </row>
    <row r="26" spans="1:45" s="3" customFormat="1" ht="15.75" customHeight="1">
      <c r="A26" s="154"/>
      <c r="B26" s="83" t="s">
        <v>143</v>
      </c>
      <c r="C26" s="97">
        <v>0</v>
      </c>
      <c r="D26" s="156"/>
      <c r="E26" s="188"/>
      <c r="F26" s="189"/>
      <c r="G26" s="190"/>
      <c r="H26" s="47">
        <f>IF(G24-K23&gt;=0,0.25*G24,H25-K19)</f>
        <v>-435</v>
      </c>
      <c r="I26" s="45">
        <f>IF(H25&lt;ABS(H26),H25,H26)</f>
        <v>0</v>
      </c>
      <c r="J26" s="44"/>
      <c r="K26" s="44"/>
      <c r="L26" s="11"/>
      <c r="N26" s="25"/>
      <c r="O26" s="25"/>
      <c r="P26" s="39"/>
      <c r="R26" s="2" t="s">
        <v>43</v>
      </c>
      <c r="AS26" s="153"/>
    </row>
    <row r="27" spans="1:45" s="3" customFormat="1" ht="15.75" customHeight="1">
      <c r="A27" s="154"/>
      <c r="B27" s="83" t="s">
        <v>144</v>
      </c>
      <c r="C27" s="97">
        <v>0</v>
      </c>
      <c r="D27" s="156"/>
      <c r="E27" s="188"/>
      <c r="F27" s="189"/>
      <c r="G27" s="190"/>
      <c r="H27" s="45">
        <f>IF(G24-K23&gt;=0,0.15*G24,H25-K19)</f>
        <v>-435</v>
      </c>
      <c r="I27" s="45"/>
      <c r="J27" s="44"/>
      <c r="K27" s="44"/>
      <c r="L27" s="11"/>
      <c r="N27" s="18"/>
      <c r="O27" s="18"/>
      <c r="P27" s="38"/>
      <c r="AS27" s="153"/>
    </row>
    <row r="28" spans="1:45" s="3" customFormat="1" ht="15.75" customHeight="1">
      <c r="A28" s="154"/>
      <c r="B28" s="83" t="s">
        <v>146</v>
      </c>
      <c r="C28" s="97">
        <v>0</v>
      </c>
      <c r="D28" s="156"/>
      <c r="E28" s="188"/>
      <c r="F28" s="189"/>
      <c r="G28" s="190"/>
      <c r="H28" s="45">
        <f>IF(G24-K23&gt;=0,H25-K19,0.15*G24)</f>
        <v>0</v>
      </c>
      <c r="I28" s="47">
        <f>MIN(H25,H28,ABS(H27))</f>
        <v>0</v>
      </c>
      <c r="J28" s="44"/>
      <c r="K28" s="44"/>
      <c r="L28" s="11"/>
      <c r="N28" s="18"/>
      <c r="O28" s="18"/>
      <c r="P28" s="38"/>
      <c r="Q28" s="2" t="s">
        <v>44</v>
      </c>
      <c r="R28" s="2" t="s">
        <v>45</v>
      </c>
      <c r="AS28" s="153"/>
    </row>
    <row r="29" spans="1:45" s="3" customFormat="1" ht="15.75" customHeight="1">
      <c r="A29" s="154"/>
      <c r="B29" s="83" t="s">
        <v>145</v>
      </c>
      <c r="C29" s="97">
        <v>0</v>
      </c>
      <c r="D29" s="156"/>
      <c r="E29" s="188"/>
      <c r="F29" s="189"/>
      <c r="G29" s="190"/>
      <c r="H29" s="47"/>
      <c r="I29" s="45"/>
      <c r="J29" s="44"/>
      <c r="K29" s="44"/>
      <c r="L29" s="11"/>
      <c r="N29" s="18"/>
      <c r="O29" s="18"/>
      <c r="P29" s="38"/>
      <c r="R29" s="2" t="s">
        <v>46</v>
      </c>
      <c r="AS29" s="153"/>
    </row>
    <row r="30" spans="1:45" s="3" customFormat="1" ht="15.75" customHeight="1">
      <c r="A30" s="154"/>
      <c r="B30" s="83" t="s">
        <v>175</v>
      </c>
      <c r="C30" s="97">
        <v>0</v>
      </c>
      <c r="D30" s="156"/>
      <c r="E30" s="188"/>
      <c r="F30" s="189"/>
      <c r="G30" s="190"/>
      <c r="H30" s="47">
        <f>IF(G24-K20&lt;=0,0,G24)</f>
        <v>0</v>
      </c>
      <c r="I30" s="45"/>
      <c r="J30" s="44"/>
      <c r="K30" s="44"/>
      <c r="L30" s="11"/>
      <c r="N30" s="18"/>
      <c r="O30" s="18"/>
      <c r="P30" s="38"/>
      <c r="AS30" s="153"/>
    </row>
    <row r="31" spans="1:45" s="3" customFormat="1" ht="15.75" customHeight="1">
      <c r="A31" s="154"/>
      <c r="B31" s="83" t="s">
        <v>176</v>
      </c>
      <c r="C31" s="97">
        <v>0</v>
      </c>
      <c r="D31" s="156"/>
      <c r="E31" s="188"/>
      <c r="F31" s="189"/>
      <c r="G31" s="190"/>
      <c r="H31" s="47">
        <f>IF(G24-K24&gt;=0,0.25*G24,H30-K20)</f>
        <v>-942.5</v>
      </c>
      <c r="I31" s="45">
        <f>IF(H30&lt;ABS(H31),H30,H31)</f>
        <v>0</v>
      </c>
      <c r="J31" s="45"/>
      <c r="K31" s="45"/>
      <c r="L31" s="11"/>
      <c r="N31" s="18"/>
      <c r="O31" s="18"/>
      <c r="P31" s="38"/>
      <c r="Q31" s="2" t="s">
        <v>48</v>
      </c>
      <c r="R31" s="2" t="s">
        <v>49</v>
      </c>
      <c r="AS31" s="153"/>
    </row>
    <row r="32" spans="1:45" s="3" customFormat="1" ht="15.75" customHeight="1">
      <c r="A32" s="154"/>
      <c r="B32" s="194" t="s">
        <v>148</v>
      </c>
      <c r="C32" s="194"/>
      <c r="D32" s="157"/>
      <c r="E32" s="188"/>
      <c r="F32" s="189"/>
      <c r="G32" s="190"/>
      <c r="H32" s="45">
        <f>IF(G24-K24&gt;=0,0.15*G24,H30-K20)</f>
        <v>-942.5</v>
      </c>
      <c r="I32" s="45"/>
      <c r="J32" s="45"/>
      <c r="K32" s="45"/>
      <c r="L32" s="11"/>
      <c r="N32" s="18"/>
      <c r="O32" s="18"/>
      <c r="P32" s="38"/>
      <c r="R32" s="2" t="s">
        <v>50</v>
      </c>
      <c r="AS32" s="153"/>
    </row>
    <row r="33" spans="1:45" s="3" customFormat="1" ht="15.75" customHeight="1" thickBot="1">
      <c r="A33" s="154"/>
      <c r="B33" s="125" t="s">
        <v>113</v>
      </c>
      <c r="C33" s="126">
        <v>0</v>
      </c>
      <c r="D33" s="156"/>
      <c r="E33" s="188"/>
      <c r="F33" s="189"/>
      <c r="G33" s="190"/>
      <c r="H33" s="13">
        <f>IF(G24-K24&gt;=0,H30-K20,0.15*G24)</f>
        <v>0</v>
      </c>
      <c r="I33" s="12">
        <f>MIN(ABS(H32),H33,H30)</f>
        <v>0</v>
      </c>
      <c r="J33" s="13"/>
      <c r="K33" s="13"/>
      <c r="L33" s="14"/>
      <c r="N33" s="18"/>
      <c r="O33" s="18"/>
      <c r="P33" s="38"/>
      <c r="AS33" s="153"/>
    </row>
    <row r="34" spans="1:45" s="3" customFormat="1" ht="15.75" customHeight="1">
      <c r="A34" s="154"/>
      <c r="B34" s="131" t="s">
        <v>54</v>
      </c>
      <c r="C34" s="97">
        <v>0</v>
      </c>
      <c r="D34" s="156"/>
      <c r="E34" s="188"/>
      <c r="F34" s="189"/>
      <c r="G34" s="190"/>
      <c r="N34" s="18"/>
      <c r="O34" s="18"/>
      <c r="P34" s="38"/>
      <c r="Q34" s="2" t="s">
        <v>51</v>
      </c>
      <c r="R34" s="2" t="s">
        <v>52</v>
      </c>
      <c r="AS34" s="153"/>
    </row>
    <row r="35" spans="1:45" s="3" customFormat="1" ht="15.75" customHeight="1">
      <c r="A35" s="154"/>
      <c r="B35" s="131" t="s">
        <v>54</v>
      </c>
      <c r="C35" s="97">
        <v>0</v>
      </c>
      <c r="D35" s="156"/>
      <c r="E35" s="188"/>
      <c r="F35" s="189"/>
      <c r="G35" s="190"/>
      <c r="N35" s="18"/>
      <c r="O35" s="18"/>
      <c r="P35" s="38"/>
      <c r="R35" s="2" t="s">
        <v>53</v>
      </c>
      <c r="AS35" s="153"/>
    </row>
    <row r="36" spans="1:45" s="3" customFormat="1" ht="15.75" customHeight="1">
      <c r="A36" s="154"/>
      <c r="B36" s="131" t="s">
        <v>54</v>
      </c>
      <c r="C36" s="97">
        <v>0</v>
      </c>
      <c r="D36" s="156"/>
      <c r="E36" s="188"/>
      <c r="F36" s="189"/>
      <c r="G36" s="190"/>
      <c r="N36" s="18"/>
      <c r="O36" s="18"/>
      <c r="P36" s="38"/>
      <c r="R36" s="2" t="s">
        <v>55</v>
      </c>
      <c r="AS36" s="153"/>
    </row>
    <row r="37" spans="1:45" s="3" customFormat="1" ht="15.75" customHeight="1">
      <c r="A37" s="154"/>
      <c r="B37" s="131" t="s">
        <v>54</v>
      </c>
      <c r="C37" s="97">
        <v>0</v>
      </c>
      <c r="D37" s="156"/>
      <c r="E37" s="188"/>
      <c r="F37" s="189"/>
      <c r="G37" s="190"/>
      <c r="N37" s="21"/>
      <c r="O37" s="21"/>
      <c r="P37" s="48"/>
      <c r="W37" s="3" t="s">
        <v>122</v>
      </c>
      <c r="AS37" s="153"/>
    </row>
    <row r="38" spans="1:45" s="3" customFormat="1" ht="15.75" customHeight="1">
      <c r="A38" s="154"/>
      <c r="B38" s="131" t="s">
        <v>54</v>
      </c>
      <c r="C38" s="97">
        <v>0</v>
      </c>
      <c r="D38" s="156"/>
      <c r="E38" s="188"/>
      <c r="F38" s="189"/>
      <c r="G38" s="190"/>
      <c r="N38" s="21"/>
      <c r="O38" s="21"/>
      <c r="P38" s="48"/>
      <c r="Q38" s="2" t="s">
        <v>56</v>
      </c>
      <c r="R38" s="2" t="s">
        <v>57</v>
      </c>
      <c r="AS38" s="153"/>
    </row>
    <row r="39" spans="1:45" s="3" customFormat="1" ht="15.75" customHeight="1" thickBot="1">
      <c r="A39" s="154"/>
      <c r="B39" s="131" t="s">
        <v>54</v>
      </c>
      <c r="C39" s="97">
        <v>0</v>
      </c>
      <c r="D39" s="156"/>
      <c r="E39" s="191"/>
      <c r="F39" s="192"/>
      <c r="G39" s="193"/>
      <c r="I39" s="2" t="s">
        <v>6</v>
      </c>
      <c r="N39" s="25" t="s">
        <v>58</v>
      </c>
      <c r="O39" s="25" t="s">
        <v>104</v>
      </c>
      <c r="P39" s="39" t="s">
        <v>2</v>
      </c>
      <c r="AS39" s="153"/>
    </row>
    <row r="40" spans="1:45" s="3" customFormat="1" ht="15.75" customHeight="1" thickBot="1">
      <c r="A40" s="154"/>
      <c r="B40" s="168" t="s">
        <v>54</v>
      </c>
      <c r="C40" s="169">
        <v>0</v>
      </c>
      <c r="D40" s="170"/>
      <c r="E40" s="171"/>
      <c r="F40" s="172"/>
      <c r="G40" s="173"/>
      <c r="I40" s="3">
        <f>IF((C7=I39),2,0)</f>
        <v>0</v>
      </c>
      <c r="J40" s="3">
        <f t="shared" ref="J40:J48" si="4">CHOOSE($I$43+1,N40,N50,N60,N70)</f>
        <v>0</v>
      </c>
      <c r="K40" s="3">
        <f t="shared" ref="K40:M48" si="5">CHOOSE($I$43+1,N40,N50,N60,N70)</f>
        <v>0</v>
      </c>
      <c r="L40" s="3">
        <f t="shared" si="5"/>
        <v>0</v>
      </c>
      <c r="M40" s="49">
        <f t="shared" si="5"/>
        <v>0</v>
      </c>
      <c r="N40" s="18">
        <v>0</v>
      </c>
      <c r="O40" s="18">
        <v>0</v>
      </c>
      <c r="P40" s="38">
        <v>0</v>
      </c>
      <c r="Q40" s="2" t="s">
        <v>59</v>
      </c>
      <c r="R40" s="2" t="s">
        <v>60</v>
      </c>
      <c r="AS40" s="153"/>
    </row>
    <row r="41" spans="1:45" s="3" customFormat="1" ht="18" customHeight="1">
      <c r="D41" s="2"/>
      <c r="I41" s="2" t="s">
        <v>6</v>
      </c>
      <c r="J41" s="3">
        <f>CHOOSE($I$43+1,N41,N51,N61,N71)</f>
        <v>3210</v>
      </c>
      <c r="K41" s="3">
        <f>CHOOSE($I$43+1,N41,N51,N61,N71)</f>
        <v>3210</v>
      </c>
      <c r="L41" s="3">
        <f>CHOOSE($I$43+1,O41,O51,O61,O71)</f>
        <v>0</v>
      </c>
      <c r="M41" s="49">
        <f>CHOOSE($I$43+1,P41,P51,P61,P71)</f>
        <v>2.2599999999999999E-2</v>
      </c>
      <c r="N41" s="18">
        <v>3210</v>
      </c>
      <c r="O41" s="18">
        <v>0</v>
      </c>
      <c r="P41" s="22">
        <v>2.2599999999999999E-2</v>
      </c>
    </row>
    <row r="42" spans="1:45" s="3" customFormat="1" ht="15.75" customHeight="1">
      <c r="D42" s="2"/>
      <c r="I42" s="3">
        <f>IF((C9=I41),1,0)</f>
        <v>0</v>
      </c>
      <c r="J42" s="3">
        <f t="shared" si="4"/>
        <v>6290</v>
      </c>
      <c r="K42" s="3">
        <f t="shared" si="5"/>
        <v>6290</v>
      </c>
      <c r="L42" s="3">
        <f t="shared" si="5"/>
        <v>69.61</v>
      </c>
      <c r="M42" s="49">
        <f t="shared" si="5"/>
        <v>3.2199999999999999E-2</v>
      </c>
      <c r="N42" s="18">
        <v>6290</v>
      </c>
      <c r="O42" s="18">
        <v>69.61</v>
      </c>
      <c r="P42" s="22">
        <v>3.2199999999999999E-2</v>
      </c>
      <c r="Q42" s="2" t="s">
        <v>61</v>
      </c>
      <c r="R42" s="2" t="s">
        <v>107</v>
      </c>
    </row>
    <row r="43" spans="1:45" s="3" customFormat="1" ht="15.75" customHeight="1">
      <c r="D43" s="2"/>
      <c r="I43" s="3">
        <f>I42</f>
        <v>0</v>
      </c>
      <c r="J43" s="3">
        <f t="shared" si="4"/>
        <v>20440</v>
      </c>
      <c r="K43" s="3">
        <f t="shared" si="5"/>
        <v>20440</v>
      </c>
      <c r="L43" s="3">
        <f t="shared" si="5"/>
        <v>525.24</v>
      </c>
      <c r="M43" s="49">
        <f t="shared" si="5"/>
        <v>4.9099999999999998E-2</v>
      </c>
      <c r="N43" s="18">
        <v>20440</v>
      </c>
      <c r="O43" s="18">
        <v>525.24</v>
      </c>
      <c r="P43" s="22">
        <v>4.9099999999999998E-2</v>
      </c>
      <c r="R43" s="2" t="s">
        <v>62</v>
      </c>
    </row>
    <row r="44" spans="1:45" s="3" customFormat="1" ht="15.75" customHeight="1">
      <c r="D44" s="2"/>
      <c r="I44" s="3">
        <f>O86/I47</f>
        <v>86.538461538461533</v>
      </c>
      <c r="J44" s="3">
        <f t="shared" si="4"/>
        <v>29620</v>
      </c>
      <c r="K44" s="3">
        <f t="shared" si="5"/>
        <v>29620</v>
      </c>
      <c r="L44" s="3">
        <f t="shared" si="5"/>
        <v>975.98</v>
      </c>
      <c r="M44" s="49">
        <f t="shared" si="5"/>
        <v>5.7700000000000001E-2</v>
      </c>
      <c r="N44" s="18">
        <v>29620</v>
      </c>
      <c r="O44" s="18">
        <v>975.98</v>
      </c>
      <c r="P44" s="22">
        <v>5.7700000000000001E-2</v>
      </c>
    </row>
    <row r="45" spans="1:45" s="3" customFormat="1" ht="15.75" customHeight="1">
      <c r="I45" s="50">
        <f>IF(I46&lt;0,0,I48)</f>
        <v>0</v>
      </c>
      <c r="J45" s="3">
        <f t="shared" si="4"/>
        <v>37610</v>
      </c>
      <c r="K45" s="3">
        <f t="shared" si="5"/>
        <v>37610</v>
      </c>
      <c r="L45" s="3">
        <f t="shared" si="5"/>
        <v>1437</v>
      </c>
      <c r="M45" s="49">
        <f t="shared" si="5"/>
        <v>5.9400000000000001E-2</v>
      </c>
      <c r="N45" s="18">
        <v>37610</v>
      </c>
      <c r="O45" s="18">
        <v>1437</v>
      </c>
      <c r="P45" s="22">
        <v>5.9400000000000001E-2</v>
      </c>
      <c r="Q45" s="2" t="s">
        <v>63</v>
      </c>
      <c r="R45" s="2" t="s">
        <v>64</v>
      </c>
    </row>
    <row r="46" spans="1:45" s="3" customFormat="1" ht="15.75" customHeight="1">
      <c r="I46" s="3">
        <f>G5-(I44*C5)-I12-G16-G14</f>
        <v>0</v>
      </c>
      <c r="J46" s="3">
        <f t="shared" si="4"/>
        <v>70630</v>
      </c>
      <c r="K46" s="3">
        <f t="shared" si="5"/>
        <v>70630</v>
      </c>
      <c r="L46" s="3">
        <f t="shared" si="5"/>
        <v>3398.39</v>
      </c>
      <c r="M46" s="49">
        <f t="shared" si="5"/>
        <v>6.0999999999999999E-2</v>
      </c>
      <c r="N46" s="18">
        <v>70630</v>
      </c>
      <c r="O46" s="18">
        <v>3398.39</v>
      </c>
      <c r="P46" s="22">
        <v>6.0999999999999999E-2</v>
      </c>
      <c r="R46" s="2" t="s">
        <v>65</v>
      </c>
    </row>
    <row r="47" spans="1:45" s="3" customFormat="1" ht="15.75" customHeight="1">
      <c r="I47" s="5">
        <f>IF(C$7="b",26,IF(C$7="m",12,1))</f>
        <v>26</v>
      </c>
      <c r="J47" s="3">
        <f t="shared" si="4"/>
        <v>999999999</v>
      </c>
      <c r="K47" s="3">
        <f t="shared" si="5"/>
        <v>999999999</v>
      </c>
      <c r="L47" s="3">
        <f t="shared" si="5"/>
        <v>999999999</v>
      </c>
      <c r="M47" s="49">
        <f t="shared" si="5"/>
        <v>1</v>
      </c>
      <c r="N47" s="18">
        <v>999999999</v>
      </c>
      <c r="O47" s="18">
        <v>999999999</v>
      </c>
      <c r="P47" s="22">
        <v>1</v>
      </c>
      <c r="Q47" s="2" t="s">
        <v>66</v>
      </c>
      <c r="R47" s="2" t="s">
        <v>67</v>
      </c>
    </row>
    <row r="48" spans="1:45" s="3" customFormat="1" ht="15.75" customHeight="1">
      <c r="I48" s="3">
        <f>I46*I47</f>
        <v>0</v>
      </c>
      <c r="J48" s="3">
        <f t="shared" si="4"/>
        <v>999999999</v>
      </c>
      <c r="K48" s="3">
        <f t="shared" si="5"/>
        <v>999999999</v>
      </c>
      <c r="L48" s="3">
        <f t="shared" si="5"/>
        <v>999999999</v>
      </c>
      <c r="M48" s="49">
        <f t="shared" si="5"/>
        <v>1</v>
      </c>
      <c r="N48" s="18">
        <v>999999999</v>
      </c>
      <c r="O48" s="18">
        <v>999999999</v>
      </c>
      <c r="P48" s="19">
        <v>1</v>
      </c>
      <c r="R48" s="2" t="s">
        <v>68</v>
      </c>
    </row>
    <row r="49" spans="14:24" s="3" customFormat="1" ht="15.75" customHeight="1">
      <c r="N49" s="25" t="s">
        <v>69</v>
      </c>
      <c r="O49" s="25" t="s">
        <v>104</v>
      </c>
      <c r="P49" s="24" t="s">
        <v>19</v>
      </c>
      <c r="Q49" s="2" t="s">
        <v>70</v>
      </c>
      <c r="R49" s="2" t="s">
        <v>71</v>
      </c>
    </row>
    <row r="50" spans="14:24" s="3" customFormat="1" ht="15.75" customHeight="1">
      <c r="N50" s="18">
        <v>0</v>
      </c>
      <c r="O50" s="18">
        <v>0</v>
      </c>
      <c r="P50" s="38">
        <v>0</v>
      </c>
      <c r="R50" s="2" t="s">
        <v>72</v>
      </c>
    </row>
    <row r="51" spans="14:24" s="3" customFormat="1" ht="15.75" customHeight="1">
      <c r="N51" s="18">
        <v>7680</v>
      </c>
      <c r="O51" s="18">
        <v>0</v>
      </c>
      <c r="P51" s="22">
        <v>2.2599999999999999E-2</v>
      </c>
      <c r="Q51" s="2" t="s">
        <v>73</v>
      </c>
      <c r="R51" s="2" t="s">
        <v>74</v>
      </c>
    </row>
    <row r="52" spans="14:24" s="3" customFormat="1" ht="15.75" customHeight="1">
      <c r="N52" s="18">
        <v>12190</v>
      </c>
      <c r="O52" s="18">
        <v>101.93</v>
      </c>
      <c r="P52" s="22">
        <v>3.2199999999999999E-2</v>
      </c>
      <c r="R52" s="2" t="s">
        <v>75</v>
      </c>
    </row>
    <row r="53" spans="14:24" s="3" customFormat="1" ht="15.75" customHeight="1">
      <c r="N53" s="18">
        <v>30360</v>
      </c>
      <c r="O53" s="18">
        <v>687</v>
      </c>
      <c r="P53" s="22">
        <v>4.9099999999999998E-2</v>
      </c>
      <c r="Q53" s="2" t="s">
        <v>76</v>
      </c>
      <c r="R53" s="2" t="s">
        <v>77</v>
      </c>
    </row>
    <row r="54" spans="14:24" s="3" customFormat="1" ht="15.75" customHeight="1">
      <c r="N54" s="18">
        <v>47230</v>
      </c>
      <c r="O54" s="18">
        <v>1515.32</v>
      </c>
      <c r="P54" s="22">
        <v>5.7700000000000001E-2</v>
      </c>
      <c r="R54" s="2" t="s">
        <v>72</v>
      </c>
    </row>
    <row r="55" spans="14:24" s="3" customFormat="1" ht="15.75" customHeight="1">
      <c r="N55" s="18">
        <v>58600</v>
      </c>
      <c r="O55" s="18">
        <v>2171.37</v>
      </c>
      <c r="P55" s="22">
        <v>5.9400000000000001E-2</v>
      </c>
      <c r="Q55" s="2" t="s">
        <v>78</v>
      </c>
      <c r="R55" s="2" t="s">
        <v>79</v>
      </c>
    </row>
    <row r="56" spans="14:24" s="3" customFormat="1" ht="15.75" customHeight="1">
      <c r="N56" s="18">
        <v>77710</v>
      </c>
      <c r="O56" s="18">
        <v>3306.5</v>
      </c>
      <c r="P56" s="22">
        <v>6.0999999999999999E-2</v>
      </c>
      <c r="R56" s="2" t="s">
        <v>72</v>
      </c>
    </row>
    <row r="57" spans="14:24" s="3" customFormat="1" ht="15.75" customHeight="1">
      <c r="N57" s="18">
        <v>999999999</v>
      </c>
      <c r="O57" s="18">
        <v>999999999</v>
      </c>
      <c r="P57" s="22">
        <v>1</v>
      </c>
      <c r="Q57" s="2" t="s">
        <v>80</v>
      </c>
      <c r="R57" s="2" t="s">
        <v>81</v>
      </c>
    </row>
    <row r="58" spans="14:24" ht="15.75" customHeight="1">
      <c r="N58" s="18">
        <v>999999999</v>
      </c>
      <c r="O58" s="18">
        <v>999999999</v>
      </c>
      <c r="P58" s="19">
        <v>1</v>
      </c>
      <c r="R58" s="1" t="s">
        <v>82</v>
      </c>
      <c r="W58" s="3"/>
      <c r="X58" s="3"/>
    </row>
    <row r="59" spans="14:24" ht="15.75" customHeight="1">
      <c r="N59" s="20"/>
      <c r="O59" s="20"/>
      <c r="P59" s="51"/>
      <c r="R59" s="1" t="s">
        <v>83</v>
      </c>
      <c r="W59" s="3"/>
      <c r="X59" s="3"/>
    </row>
    <row r="60" spans="14:24" ht="15.75" customHeight="1">
      <c r="N60" s="18"/>
      <c r="O60" s="18"/>
      <c r="P60" s="38"/>
      <c r="R60" s="1" t="s">
        <v>84</v>
      </c>
    </row>
    <row r="61" spans="14:24" ht="15.75" customHeight="1">
      <c r="N61" s="18"/>
      <c r="O61" s="18"/>
      <c r="P61" s="22"/>
      <c r="R61" s="1" t="s">
        <v>85</v>
      </c>
    </row>
    <row r="62" spans="14:24" ht="15.75" customHeight="1">
      <c r="N62" s="18"/>
      <c r="O62" s="18"/>
      <c r="P62" s="22"/>
      <c r="R62" s="1" t="s">
        <v>86</v>
      </c>
    </row>
    <row r="63" spans="14:24" ht="15.75" customHeight="1">
      <c r="N63" s="18"/>
      <c r="O63" s="18"/>
      <c r="P63" s="22"/>
    </row>
    <row r="64" spans="14:24" ht="15.75" customHeight="1">
      <c r="N64" s="18"/>
      <c r="O64" s="18"/>
      <c r="P64" s="22"/>
      <c r="Q64" s="1" t="s">
        <v>87</v>
      </c>
      <c r="R64" s="1" t="s">
        <v>88</v>
      </c>
    </row>
    <row r="65" spans="14:18" ht="15.75" customHeight="1">
      <c r="N65" s="18"/>
      <c r="O65" s="18"/>
      <c r="P65" s="22"/>
    </row>
    <row r="66" spans="14:18" ht="15.75" customHeight="1">
      <c r="N66" s="18"/>
      <c r="O66" s="18"/>
      <c r="P66" s="22"/>
      <c r="Q66" s="1" t="s">
        <v>89</v>
      </c>
      <c r="R66" s="1" t="s">
        <v>90</v>
      </c>
    </row>
    <row r="67" spans="14:18" ht="15.75" customHeight="1">
      <c r="N67" s="18"/>
      <c r="O67" s="18"/>
      <c r="P67" s="22"/>
    </row>
    <row r="68" spans="14:18" ht="15.75" customHeight="1">
      <c r="N68" s="18"/>
      <c r="O68" s="18"/>
      <c r="P68" s="19"/>
      <c r="Q68" t="s">
        <v>95</v>
      </c>
      <c r="R68" t="s">
        <v>96</v>
      </c>
    </row>
    <row r="69" spans="14:18" ht="15.75" customHeight="1">
      <c r="N69" s="20"/>
      <c r="O69" s="20"/>
      <c r="P69" s="51"/>
      <c r="R69" t="s">
        <v>97</v>
      </c>
    </row>
    <row r="70" spans="14:18" ht="15.75" customHeight="1">
      <c r="N70" s="18"/>
      <c r="O70" s="18"/>
      <c r="P70" s="38"/>
    </row>
    <row r="71" spans="14:18" ht="15.75" customHeight="1">
      <c r="N71" s="18"/>
      <c r="O71" s="18"/>
      <c r="P71" s="22"/>
      <c r="Q71" t="s">
        <v>98</v>
      </c>
      <c r="R71" t="s">
        <v>99</v>
      </c>
    </row>
    <row r="72" spans="14:18" ht="15.75" customHeight="1">
      <c r="N72" s="18"/>
      <c r="O72" s="18"/>
      <c r="P72" s="22"/>
      <c r="R72" t="s">
        <v>100</v>
      </c>
    </row>
    <row r="73" spans="14:18" ht="15.75" customHeight="1">
      <c r="N73" s="18"/>
      <c r="O73" s="18"/>
      <c r="P73" s="22"/>
    </row>
    <row r="74" spans="14:18" ht="15.75" customHeight="1">
      <c r="N74" s="18"/>
      <c r="O74" s="18"/>
      <c r="P74" s="22"/>
    </row>
    <row r="75" spans="14:18" ht="15.75" customHeight="1">
      <c r="N75" s="18"/>
      <c r="O75" s="18"/>
      <c r="P75" s="22"/>
    </row>
    <row r="76" spans="14:18" ht="15.75" customHeight="1">
      <c r="N76" s="18"/>
      <c r="O76" s="18"/>
      <c r="P76" s="22"/>
    </row>
    <row r="77" spans="14:18" ht="15.75" customHeight="1">
      <c r="N77" s="18"/>
      <c r="O77" s="18"/>
      <c r="P77" s="22"/>
    </row>
    <row r="78" spans="14:18" ht="15.75" customHeight="1">
      <c r="N78" s="18"/>
      <c r="O78" s="18"/>
      <c r="P78" s="22"/>
    </row>
    <row r="79" spans="14:18" ht="15.75" customHeight="1">
      <c r="N79" s="19"/>
      <c r="O79" s="19"/>
      <c r="P79" s="38"/>
    </row>
    <row r="80" spans="14:18" ht="15.75" customHeight="1">
      <c r="N80" s="19"/>
      <c r="O80" s="19"/>
      <c r="P80" s="38"/>
    </row>
    <row r="81" spans="14:16" ht="15.75" customHeight="1">
      <c r="N81" s="23" t="s">
        <v>91</v>
      </c>
      <c r="O81" s="26" t="s">
        <v>92</v>
      </c>
      <c r="P81" s="38"/>
    </row>
    <row r="82" spans="14:16" ht="15.75" customHeight="1">
      <c r="N82" s="19"/>
      <c r="O82" s="19"/>
      <c r="P82" s="38"/>
    </row>
    <row r="83" spans="14:16" ht="15.75" customHeight="1">
      <c r="N83" s="19" t="s">
        <v>105</v>
      </c>
      <c r="O83" s="19">
        <v>4300</v>
      </c>
      <c r="P83" s="38"/>
    </row>
    <row r="84" spans="14:16" ht="15.75" customHeight="1">
      <c r="N84" s="19" t="s">
        <v>93</v>
      </c>
      <c r="O84" s="19"/>
      <c r="P84" s="38"/>
    </row>
    <row r="85" spans="14:16" ht="15.75" customHeight="1">
      <c r="N85" s="19"/>
      <c r="O85" s="19"/>
      <c r="P85" s="38"/>
    </row>
    <row r="86" spans="14:16" ht="15.75" customHeight="1">
      <c r="N86" s="19" t="s">
        <v>106</v>
      </c>
      <c r="O86" s="19">
        <v>2250</v>
      </c>
      <c r="P86" s="38"/>
    </row>
    <row r="87" spans="14:16" ht="15.75" customHeight="1">
      <c r="N87" s="19" t="s">
        <v>94</v>
      </c>
      <c r="O87" s="19"/>
      <c r="P87" s="19"/>
    </row>
    <row r="88" spans="14:16" ht="15.75" customHeight="1"/>
    <row r="89" spans="14:16" ht="15.75" customHeight="1"/>
    <row r="90" spans="14:16" ht="15.75" customHeight="1"/>
  </sheetData>
  <sheetProtection sheet="1" formatCells="0" selectLockedCells="1"/>
  <mergeCells count="15">
    <mergeCell ref="E24:G39"/>
    <mergeCell ref="B8:C8"/>
    <mergeCell ref="B6:C6"/>
    <mergeCell ref="B32:C32"/>
    <mergeCell ref="B23:C23"/>
    <mergeCell ref="B22:C22"/>
    <mergeCell ref="B16:C16"/>
    <mergeCell ref="B10:C10"/>
    <mergeCell ref="B1:G1"/>
    <mergeCell ref="E23:G23"/>
    <mergeCell ref="J22:K22"/>
    <mergeCell ref="J18:K18"/>
    <mergeCell ref="B4:G4"/>
    <mergeCell ref="C2:F2"/>
    <mergeCell ref="C3:F3"/>
  </mergeCells>
  <phoneticPr fontId="0" type="noConversion"/>
  <dataValidations count="4">
    <dataValidation type="list" allowBlank="1" showInputMessage="1" showErrorMessage="1" sqref="C9" xr:uid="{EE9C3CC2-0C38-4844-A366-EE06A401C970}">
      <formula1>"S, M"</formula1>
    </dataValidation>
    <dataValidation type="list" allowBlank="1" showInputMessage="1" showErrorMessage="1" sqref="C7" xr:uid="{4BE8E959-1B09-4AEF-AA2E-62F51AF721C6}">
      <formula1>"B, M"</formula1>
    </dataValidation>
    <dataValidation type="list" allowBlank="1" showInputMessage="1" showErrorMessage="1" sqref="C17" xr:uid="{A9CDABEB-50C8-418E-8E70-44E3E2B04AB8}">
      <formula1>"Y,N"</formula1>
    </dataValidation>
    <dataValidation type="list" allowBlank="1" showInputMessage="1" showErrorMessage="1" sqref="C19" xr:uid="{C1C984C3-BACB-43EC-B4D0-5CB1E91590A6}">
      <formula1>"S,T,P,J1,J2,J3,J4,J5"</formula1>
    </dataValidation>
  </dataValidations>
  <printOptions horizontalCentered="1" gridLines="1"/>
  <pageMargins left="0.5" right="0.5" top="1" bottom="0.5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S95"/>
  <sheetViews>
    <sheetView zoomScaleNormal="100" workbookViewId="0">
      <selection activeCell="C30" sqref="C30"/>
    </sheetView>
  </sheetViews>
  <sheetFormatPr defaultRowHeight="15"/>
  <cols>
    <col min="1" max="1" width="5" style="28" customWidth="1"/>
    <col min="2" max="2" width="30.77734375" style="28" customWidth="1"/>
    <col min="3" max="3" width="10.77734375" style="28" customWidth="1"/>
    <col min="4" max="4" width="1.77734375" style="28" customWidth="1"/>
    <col min="5" max="5" width="3" style="28" customWidth="1"/>
    <col min="6" max="6" width="16.77734375" style="28" customWidth="1"/>
    <col min="7" max="7" width="14.33203125" style="28" customWidth="1"/>
    <col min="8" max="8" width="6.77734375" style="28" hidden="1" customWidth="1"/>
    <col min="9" max="9" width="9.5546875" style="28" hidden="1" customWidth="1"/>
    <col min="10" max="12" width="11.88671875" style="28" hidden="1" customWidth="1"/>
    <col min="13" max="13" width="6.6640625" style="28" hidden="1" customWidth="1"/>
    <col min="14" max="15" width="14.88671875" style="28" hidden="1" customWidth="1"/>
    <col min="16" max="16" width="10.6640625" style="28" hidden="1" customWidth="1"/>
    <col min="17" max="17" width="8.109375" style="28" hidden="1" customWidth="1"/>
    <col min="18" max="18" width="9" style="28" hidden="1" customWidth="1"/>
    <col min="19" max="19" width="5.77734375" style="28" hidden="1" customWidth="1"/>
    <col min="20" max="20" width="6.21875" style="28" hidden="1" customWidth="1"/>
    <col min="21" max="21" width="3" style="28" hidden="1" customWidth="1"/>
    <col min="22" max="22" width="5.33203125" style="28" hidden="1" customWidth="1"/>
    <col min="23" max="23" width="7.21875" style="28" hidden="1" customWidth="1"/>
    <col min="24" max="24" width="7.77734375" style="28" hidden="1" customWidth="1"/>
    <col min="25" max="25" width="5.21875" style="28" hidden="1" customWidth="1"/>
    <col min="26" max="26" width="10.5546875" style="28" hidden="1" customWidth="1"/>
    <col min="27" max="27" width="5.5546875" style="28" hidden="1" customWidth="1"/>
    <col min="28" max="29" width="14.88671875" style="28" hidden="1" customWidth="1"/>
    <col min="30" max="44" width="8.88671875" style="28" hidden="1" customWidth="1"/>
    <col min="45" max="16384" width="8.88671875" style="28"/>
  </cols>
  <sheetData>
    <row r="1" spans="1:45" ht="24.75" customHeight="1" thickBot="1">
      <c r="A1" s="52"/>
      <c r="B1" s="174" t="s">
        <v>178</v>
      </c>
      <c r="C1" s="175"/>
      <c r="D1" s="175"/>
      <c r="E1" s="175"/>
      <c r="F1" s="175"/>
      <c r="G1" s="176"/>
      <c r="Q1" s="53" t="s">
        <v>0</v>
      </c>
      <c r="W1" s="28" t="s">
        <v>127</v>
      </c>
      <c r="X1" s="54"/>
    </row>
    <row r="2" spans="1:45" ht="20.25" customHeight="1">
      <c r="A2" s="55"/>
      <c r="B2" s="56" t="s">
        <v>115</v>
      </c>
      <c r="C2" s="204"/>
      <c r="D2" s="204"/>
      <c r="E2" s="204"/>
      <c r="F2" s="204"/>
      <c r="G2" s="206"/>
      <c r="W2" s="28" t="s">
        <v>128</v>
      </c>
      <c r="X2" s="28" t="s">
        <v>129</v>
      </c>
    </row>
    <row r="3" spans="1:45" ht="20.25" customHeight="1" thickBot="1">
      <c r="A3" s="52"/>
      <c r="B3" s="57" t="s">
        <v>116</v>
      </c>
      <c r="C3" s="205"/>
      <c r="D3" s="205"/>
      <c r="E3" s="205"/>
      <c r="F3" s="205"/>
      <c r="G3" s="207"/>
      <c r="H3" s="58"/>
      <c r="Q3" s="53" t="s">
        <v>3</v>
      </c>
      <c r="R3" s="53" t="s">
        <v>4</v>
      </c>
      <c r="W3" s="29" t="s">
        <v>130</v>
      </c>
      <c r="X3" s="59">
        <v>0.09</v>
      </c>
    </row>
    <row r="4" spans="1:45" ht="15.75" thickBot="1">
      <c r="A4" s="52"/>
      <c r="B4" s="199"/>
      <c r="C4" s="200"/>
      <c r="D4" s="200"/>
      <c r="E4" s="200"/>
      <c r="F4" s="200"/>
      <c r="G4" s="201"/>
      <c r="H4" s="58"/>
      <c r="Q4" s="53"/>
      <c r="R4" s="53"/>
      <c r="W4" s="29"/>
      <c r="X4" s="59"/>
    </row>
    <row r="5" spans="1:45" s="29" customFormat="1" ht="15.75" customHeight="1">
      <c r="A5" s="60"/>
      <c r="B5" s="61" t="s">
        <v>152</v>
      </c>
      <c r="C5" s="62">
        <v>0</v>
      </c>
      <c r="D5" s="217"/>
      <c r="E5" s="63"/>
      <c r="F5" s="64" t="s">
        <v>21</v>
      </c>
      <c r="G5" s="65">
        <f>(C16*C17)+((C18*1.5)*C16)</f>
        <v>0</v>
      </c>
      <c r="H5" s="66"/>
      <c r="I5" s="30" t="s">
        <v>6</v>
      </c>
      <c r="Q5" s="30" t="s">
        <v>8</v>
      </c>
      <c r="R5" s="30" t="s">
        <v>9</v>
      </c>
      <c r="W5" s="29" t="s">
        <v>132</v>
      </c>
      <c r="X5" s="59">
        <v>0.05</v>
      </c>
      <c r="AB5" s="67"/>
      <c r="AC5" s="68" t="s">
        <v>151</v>
      </c>
      <c r="AD5" s="34"/>
      <c r="AS5" s="66"/>
    </row>
    <row r="6" spans="1:45" s="29" customFormat="1" ht="15.75" customHeight="1">
      <c r="A6" s="60"/>
      <c r="B6" s="69" t="s">
        <v>153</v>
      </c>
      <c r="C6" s="70" t="s">
        <v>169</v>
      </c>
      <c r="D6" s="218"/>
      <c r="E6" s="71"/>
      <c r="F6" s="72" t="s">
        <v>101</v>
      </c>
      <c r="G6" s="73">
        <f>G5-G13-G14-G16</f>
        <v>0</v>
      </c>
      <c r="H6" s="66"/>
      <c r="I6" s="33">
        <f>IF((C11=I5),2,0)</f>
        <v>0</v>
      </c>
      <c r="L6" s="30" t="s">
        <v>7</v>
      </c>
      <c r="N6" s="67"/>
      <c r="O6" s="68" t="s">
        <v>151</v>
      </c>
      <c r="P6" s="34"/>
      <c r="Q6" s="30"/>
      <c r="R6" s="30"/>
      <c r="X6" s="59"/>
      <c r="AB6" s="74" t="s">
        <v>1</v>
      </c>
      <c r="AC6" s="74" t="s">
        <v>104</v>
      </c>
      <c r="AD6" s="75" t="s">
        <v>2</v>
      </c>
    </row>
    <row r="7" spans="1:45" s="29" customFormat="1" ht="15.75" customHeight="1">
      <c r="A7" s="60"/>
      <c r="B7" s="69" t="s">
        <v>156</v>
      </c>
      <c r="C7" s="76">
        <v>0</v>
      </c>
      <c r="D7" s="218"/>
      <c r="E7" s="71"/>
      <c r="F7" s="72" t="s">
        <v>103</v>
      </c>
      <c r="G7" s="73">
        <f>G5-G16</f>
        <v>0</v>
      </c>
      <c r="H7" s="66"/>
      <c r="I7" s="33"/>
      <c r="L7" s="30"/>
      <c r="N7" s="74" t="s">
        <v>1</v>
      </c>
      <c r="O7" s="74" t="s">
        <v>104</v>
      </c>
      <c r="P7" s="75" t="s">
        <v>2</v>
      </c>
      <c r="Q7" s="30"/>
      <c r="R7" s="30"/>
      <c r="X7" s="59"/>
      <c r="AB7" s="31">
        <v>0</v>
      </c>
      <c r="AC7" s="31">
        <v>0</v>
      </c>
      <c r="AD7" s="34">
        <v>0</v>
      </c>
    </row>
    <row r="8" spans="1:45" s="29" customFormat="1" ht="15.75" customHeight="1">
      <c r="A8" s="60"/>
      <c r="B8" s="69" t="s">
        <v>154</v>
      </c>
      <c r="C8" s="76">
        <v>0</v>
      </c>
      <c r="D8" s="218"/>
      <c r="E8" s="77"/>
      <c r="F8" s="78" t="s">
        <v>102</v>
      </c>
      <c r="G8" s="79">
        <f>G5</f>
        <v>0</v>
      </c>
      <c r="H8" s="66"/>
      <c r="I8" s="33" t="s">
        <v>160</v>
      </c>
      <c r="L8" s="30"/>
      <c r="N8" s="31">
        <v>0</v>
      </c>
      <c r="O8" s="31">
        <v>0</v>
      </c>
      <c r="P8" s="34">
        <v>0</v>
      </c>
      <c r="Q8" s="30"/>
      <c r="R8" s="30"/>
      <c r="X8" s="59"/>
      <c r="AB8" s="18">
        <v>6000</v>
      </c>
      <c r="AC8" s="18">
        <v>0</v>
      </c>
      <c r="AD8" s="34">
        <v>0.1</v>
      </c>
      <c r="AS8" s="66"/>
    </row>
    <row r="9" spans="1:45" s="29" customFormat="1" ht="15.75" customHeight="1">
      <c r="A9" s="60"/>
      <c r="B9" s="69" t="s">
        <v>155</v>
      </c>
      <c r="C9" s="76">
        <v>0</v>
      </c>
      <c r="D9" s="218"/>
      <c r="E9" s="80"/>
      <c r="F9" s="72" t="s">
        <v>16</v>
      </c>
      <c r="G9" s="81">
        <f>I57-I58+C19</f>
        <v>0</v>
      </c>
      <c r="H9" s="66"/>
      <c r="I9" s="33" t="s">
        <v>161</v>
      </c>
      <c r="L9" s="30"/>
      <c r="N9" s="18">
        <v>7300</v>
      </c>
      <c r="O9" s="18">
        <v>0</v>
      </c>
      <c r="P9" s="34">
        <v>0.1</v>
      </c>
      <c r="Q9" s="30"/>
      <c r="R9" s="30"/>
      <c r="X9" s="59"/>
      <c r="AB9" s="18">
        <v>17600</v>
      </c>
      <c r="AC9" s="18">
        <v>1160</v>
      </c>
      <c r="AD9" s="34">
        <v>0.12</v>
      </c>
    </row>
    <row r="10" spans="1:45" s="29" customFormat="1" ht="15.75" customHeight="1">
      <c r="A10" s="60"/>
      <c r="B10" s="194" t="s">
        <v>10</v>
      </c>
      <c r="C10" s="194"/>
      <c r="D10" s="218"/>
      <c r="E10" s="71"/>
      <c r="F10" s="72" t="s">
        <v>27</v>
      </c>
      <c r="G10" s="82">
        <f>ROUND((((((I50-VLOOKUP(I50,J45:M53,2)))*VLOOKUP(I50,J45:M53,4))+VLOOKUP(I50,J45:M53,3))/I52)+C20,2)</f>
        <v>0</v>
      </c>
      <c r="H10" s="66"/>
      <c r="I10" s="33" t="s">
        <v>162</v>
      </c>
      <c r="L10" s="30"/>
      <c r="N10" s="18">
        <v>13100</v>
      </c>
      <c r="O10" s="18">
        <v>580</v>
      </c>
      <c r="P10" s="34">
        <v>0.12</v>
      </c>
      <c r="R10" s="30" t="s">
        <v>11</v>
      </c>
      <c r="W10" s="29" t="s">
        <v>133</v>
      </c>
      <c r="X10" s="59">
        <v>0.01</v>
      </c>
      <c r="AB10" s="18">
        <v>53150</v>
      </c>
      <c r="AC10" s="18">
        <v>5426</v>
      </c>
      <c r="AD10" s="34">
        <v>0.22</v>
      </c>
      <c r="AS10" s="66"/>
    </row>
    <row r="11" spans="1:45" s="29" customFormat="1" ht="15.75" customHeight="1">
      <c r="A11" s="60"/>
      <c r="B11" s="83" t="s">
        <v>163</v>
      </c>
      <c r="C11" s="70" t="s">
        <v>170</v>
      </c>
      <c r="D11" s="218"/>
      <c r="E11" s="71"/>
      <c r="F11" s="72" t="s">
        <v>117</v>
      </c>
      <c r="G11" s="82">
        <f>ROUND(G$7*6.2/100,2)</f>
        <v>0</v>
      </c>
      <c r="H11" s="66"/>
      <c r="I11" s="30" t="s">
        <v>6</v>
      </c>
      <c r="L11" s="30" t="s">
        <v>7</v>
      </c>
      <c r="N11" s="18">
        <v>30875</v>
      </c>
      <c r="O11" s="18">
        <v>2713</v>
      </c>
      <c r="P11" s="34">
        <v>0.22</v>
      </c>
      <c r="R11" s="30" t="s">
        <v>12</v>
      </c>
      <c r="W11" s="29" t="s">
        <v>140</v>
      </c>
      <c r="X11" s="59">
        <v>0.1</v>
      </c>
      <c r="AB11" s="18">
        <v>106525</v>
      </c>
      <c r="AC11" s="18">
        <v>17168.5</v>
      </c>
      <c r="AD11" s="34">
        <v>0.24</v>
      </c>
      <c r="AS11" s="66"/>
    </row>
    <row r="12" spans="1:45" s="29" customFormat="1" ht="15.75" customHeight="1">
      <c r="A12" s="60"/>
      <c r="B12" s="194" t="s">
        <v>13</v>
      </c>
      <c r="C12" s="194"/>
      <c r="D12" s="218"/>
      <c r="E12" s="71"/>
      <c r="F12" s="72" t="s">
        <v>118</v>
      </c>
      <c r="G12" s="82">
        <f>ROUND(G$7*1.45/100,2)</f>
        <v>0</v>
      </c>
      <c r="H12" s="66"/>
      <c r="I12" s="35">
        <f>IF(C14=I8,0,IF(C14=I9,1,2))</f>
        <v>0</v>
      </c>
      <c r="L12" s="30" t="s">
        <v>7</v>
      </c>
      <c r="N12" s="18">
        <v>57563</v>
      </c>
      <c r="O12" s="18">
        <v>8584.25</v>
      </c>
      <c r="P12" s="34">
        <v>0.24</v>
      </c>
      <c r="W12" s="29" t="s">
        <v>134</v>
      </c>
      <c r="X12" s="59">
        <v>0.16</v>
      </c>
      <c r="AB12" s="18">
        <v>197950</v>
      </c>
      <c r="AC12" s="18">
        <v>39110.5</v>
      </c>
      <c r="AD12" s="34">
        <v>0.32</v>
      </c>
      <c r="AS12" s="66"/>
    </row>
    <row r="13" spans="1:45" s="29" customFormat="1" ht="15.75" customHeight="1">
      <c r="A13" s="60"/>
      <c r="B13" s="83" t="s">
        <v>171</v>
      </c>
      <c r="C13" s="70" t="s">
        <v>119</v>
      </c>
      <c r="D13" s="218"/>
      <c r="E13" s="71"/>
      <c r="F13" s="72" t="s">
        <v>22</v>
      </c>
      <c r="G13" s="82">
        <f>IF(C22="Y",ROUND(G5*C25,2),0)</f>
        <v>0</v>
      </c>
      <c r="H13" s="66"/>
      <c r="I13" s="33">
        <f>I12</f>
        <v>0</v>
      </c>
      <c r="J13" s="84">
        <f t="shared" ref="J13:J22" si="0">IF($C$6=$I$16,CHOOSE($I$13+1,N8,N20,N32),CHOOSE($I$13+1,AB7,AB19,AB31))</f>
        <v>0</v>
      </c>
      <c r="K13" s="84">
        <f t="shared" ref="K13:M22" si="1">IF($C$6=$I$16,CHOOSE($I$13+1,N8,N20,N32),CHOOSE($I$13+1,AB7,AB19,AB31))</f>
        <v>0</v>
      </c>
      <c r="L13" s="84">
        <f t="shared" si="1"/>
        <v>0</v>
      </c>
      <c r="M13" s="29">
        <f t="shared" si="1"/>
        <v>0</v>
      </c>
      <c r="N13" s="18">
        <v>103275</v>
      </c>
      <c r="O13" s="18">
        <v>19555.25</v>
      </c>
      <c r="P13" s="34">
        <v>0.32</v>
      </c>
      <c r="Q13" s="30" t="s">
        <v>14</v>
      </c>
      <c r="R13" s="30" t="s">
        <v>15</v>
      </c>
      <c r="W13" s="29" t="s">
        <v>119</v>
      </c>
      <c r="X13" s="59">
        <v>4.8000000000000001E-2</v>
      </c>
      <c r="AB13" s="18">
        <v>249725</v>
      </c>
      <c r="AC13" s="18">
        <v>55678.5</v>
      </c>
      <c r="AD13" s="34">
        <v>0.35</v>
      </c>
      <c r="AS13" s="66"/>
    </row>
    <row r="14" spans="1:45" s="29" customFormat="1" ht="15.75" customHeight="1">
      <c r="A14" s="60"/>
      <c r="B14" s="83" t="s">
        <v>167</v>
      </c>
      <c r="C14" s="70" t="s">
        <v>172</v>
      </c>
      <c r="D14" s="218"/>
      <c r="E14" s="77"/>
      <c r="F14" s="78" t="s">
        <v>31</v>
      </c>
      <c r="G14" s="85">
        <f>C26</f>
        <v>0</v>
      </c>
      <c r="H14" s="66"/>
      <c r="I14" s="29">
        <f>IF(C14=I9,O88,P88)</f>
        <v>8600</v>
      </c>
      <c r="J14" s="84">
        <f>IF($C$6=$I$16,CHOOSE($I$13+1,N9,N21,N33),CHOOSE($I$13+1,AB8,AB20,AB32))</f>
        <v>6000</v>
      </c>
      <c r="K14" s="84">
        <f t="shared" si="1"/>
        <v>6000</v>
      </c>
      <c r="L14" s="84">
        <f t="shared" si="1"/>
        <v>0</v>
      </c>
      <c r="M14" s="29">
        <f t="shared" si="1"/>
        <v>0.1</v>
      </c>
      <c r="N14" s="18">
        <v>129163</v>
      </c>
      <c r="O14" s="18">
        <v>27839.25</v>
      </c>
      <c r="P14" s="34">
        <v>0.35</v>
      </c>
      <c r="Q14" s="30"/>
      <c r="R14" s="30"/>
      <c r="X14" s="59"/>
      <c r="AB14" s="18">
        <v>615350</v>
      </c>
      <c r="AC14" s="18">
        <v>183647.25</v>
      </c>
      <c r="AD14" s="34">
        <v>0.37</v>
      </c>
      <c r="AS14" s="66"/>
    </row>
    <row r="15" spans="1:45" s="29" customFormat="1" ht="15.75" customHeight="1">
      <c r="A15" s="60"/>
      <c r="B15" s="194" t="s">
        <v>21</v>
      </c>
      <c r="C15" s="194"/>
      <c r="D15" s="218"/>
      <c r="E15" s="80"/>
      <c r="F15" s="72" t="s">
        <v>149</v>
      </c>
      <c r="G15" s="82">
        <f>SUM(C38:C45)</f>
        <v>0</v>
      </c>
      <c r="H15" s="66"/>
      <c r="I15" s="36">
        <f>IF(I19&lt;0,0,I21)</f>
        <v>0</v>
      </c>
      <c r="J15" s="84">
        <f t="shared" si="0"/>
        <v>17600</v>
      </c>
      <c r="K15" s="84">
        <f t="shared" si="1"/>
        <v>17600</v>
      </c>
      <c r="L15" s="84">
        <f t="shared" si="1"/>
        <v>1160</v>
      </c>
      <c r="M15" s="29">
        <f t="shared" si="1"/>
        <v>0.12</v>
      </c>
      <c r="N15" s="18">
        <v>311975</v>
      </c>
      <c r="O15" s="18">
        <v>91823.63</v>
      </c>
      <c r="P15" s="34">
        <v>0.37</v>
      </c>
      <c r="R15" s="30" t="s">
        <v>17</v>
      </c>
      <c r="W15" s="29" t="s">
        <v>124</v>
      </c>
      <c r="X15" s="59">
        <v>9.7799999999999998E-2</v>
      </c>
      <c r="AB15" s="31">
        <v>9999999999</v>
      </c>
      <c r="AC15" s="31">
        <v>9999999999</v>
      </c>
      <c r="AD15" s="34">
        <v>1</v>
      </c>
      <c r="AS15" s="66"/>
    </row>
    <row r="16" spans="1:45" s="29" customFormat="1" ht="15.75" customHeight="1" thickBot="1">
      <c r="A16" s="60"/>
      <c r="B16" s="83" t="s">
        <v>125</v>
      </c>
      <c r="C16" s="86">
        <v>0</v>
      </c>
      <c r="D16" s="218"/>
      <c r="E16" s="87"/>
      <c r="F16" s="72" t="s">
        <v>150</v>
      </c>
      <c r="G16" s="88">
        <f>SUM(C29:C36)</f>
        <v>0</v>
      </c>
      <c r="H16" s="66"/>
      <c r="I16" s="30" t="s">
        <v>18</v>
      </c>
      <c r="J16" s="84">
        <f t="shared" si="0"/>
        <v>53150</v>
      </c>
      <c r="K16" s="84">
        <f t="shared" si="1"/>
        <v>53150</v>
      </c>
      <c r="L16" s="84">
        <f t="shared" si="1"/>
        <v>5426</v>
      </c>
      <c r="M16" s="29">
        <f t="shared" si="1"/>
        <v>0.22</v>
      </c>
      <c r="N16" s="31">
        <v>9999999999</v>
      </c>
      <c r="O16" s="31">
        <v>9999999999</v>
      </c>
      <c r="P16" s="34">
        <v>1</v>
      </c>
      <c r="R16" s="30" t="s">
        <v>20</v>
      </c>
      <c r="AB16" s="31">
        <v>9999999999</v>
      </c>
      <c r="AC16" s="31">
        <v>9999999999</v>
      </c>
      <c r="AD16" s="34">
        <v>1</v>
      </c>
    </row>
    <row r="17" spans="1:45" s="29" customFormat="1" ht="15.75" customHeight="1" thickBot="1">
      <c r="A17" s="60"/>
      <c r="B17" s="83" t="s">
        <v>126</v>
      </c>
      <c r="C17" s="89">
        <v>0</v>
      </c>
      <c r="D17" s="218"/>
      <c r="E17" s="90"/>
      <c r="F17" s="91" t="s">
        <v>114</v>
      </c>
      <c r="G17" s="92">
        <f>G5-SUM(G9:G16)</f>
        <v>0</v>
      </c>
      <c r="H17" s="66"/>
      <c r="I17" s="36">
        <f>IF(C22=I16,G13,0)</f>
        <v>0</v>
      </c>
      <c r="J17" s="84">
        <f t="shared" si="0"/>
        <v>106525</v>
      </c>
      <c r="K17" s="84">
        <f t="shared" si="1"/>
        <v>106525</v>
      </c>
      <c r="L17" s="84">
        <f t="shared" si="1"/>
        <v>17168.5</v>
      </c>
      <c r="M17" s="29">
        <f t="shared" si="1"/>
        <v>0.24</v>
      </c>
      <c r="N17" s="31">
        <v>9999999999</v>
      </c>
      <c r="O17" s="31">
        <v>9999999999</v>
      </c>
      <c r="P17" s="34">
        <v>1</v>
      </c>
      <c r="V17" s="28"/>
      <c r="Y17" s="28"/>
      <c r="AB17" s="93"/>
      <c r="AC17" s="93"/>
      <c r="AD17" s="93"/>
      <c r="AS17" s="66"/>
    </row>
    <row r="18" spans="1:45" s="29" customFormat="1" ht="15.75" customHeight="1" thickBot="1">
      <c r="A18" s="60"/>
      <c r="B18" s="94" t="s">
        <v>137</v>
      </c>
      <c r="C18" s="95">
        <v>0</v>
      </c>
      <c r="D18" s="218"/>
      <c r="E18" s="220"/>
      <c r="F18" s="221"/>
      <c r="G18" s="222"/>
      <c r="H18" s="66"/>
      <c r="J18" s="84">
        <f t="shared" si="0"/>
        <v>197950</v>
      </c>
      <c r="K18" s="84">
        <f t="shared" si="1"/>
        <v>197950</v>
      </c>
      <c r="L18" s="84">
        <f t="shared" si="1"/>
        <v>39110.5</v>
      </c>
      <c r="M18" s="29">
        <f t="shared" si="1"/>
        <v>0.32</v>
      </c>
      <c r="N18" s="93"/>
      <c r="O18" s="93"/>
      <c r="P18" s="93"/>
      <c r="Q18" s="30" t="s">
        <v>23</v>
      </c>
      <c r="R18" s="30" t="s">
        <v>24</v>
      </c>
      <c r="V18" s="28"/>
      <c r="W18" s="28" t="s">
        <v>136</v>
      </c>
      <c r="X18" s="28"/>
      <c r="Y18" s="28"/>
      <c r="AB18" s="96" t="s">
        <v>1</v>
      </c>
      <c r="AC18" s="96" t="s">
        <v>104</v>
      </c>
      <c r="AD18" s="75" t="s">
        <v>19</v>
      </c>
      <c r="AS18" s="66"/>
    </row>
    <row r="19" spans="1:45" s="29" customFormat="1" ht="15.75" customHeight="1" thickBot="1">
      <c r="A19" s="60"/>
      <c r="B19" s="83" t="s">
        <v>120</v>
      </c>
      <c r="C19" s="97">
        <v>0</v>
      </c>
      <c r="D19" s="218"/>
      <c r="E19" s="90"/>
      <c r="F19" s="98" t="s">
        <v>47</v>
      </c>
      <c r="G19" s="99"/>
      <c r="H19" s="66"/>
      <c r="I19" s="32">
        <f>G5-I17-G16-G14-IF(C6=I16,0,I14/I20)</f>
        <v>-330.76923076923077</v>
      </c>
      <c r="J19" s="84">
        <f t="shared" si="0"/>
        <v>249725</v>
      </c>
      <c r="K19" s="84">
        <f t="shared" si="1"/>
        <v>249725</v>
      </c>
      <c r="L19" s="84">
        <f t="shared" si="1"/>
        <v>55678.5</v>
      </c>
      <c r="M19" s="29">
        <f t="shared" si="1"/>
        <v>0.35</v>
      </c>
      <c r="N19" s="96" t="s">
        <v>1</v>
      </c>
      <c r="O19" s="96" t="s">
        <v>104</v>
      </c>
      <c r="P19" s="75" t="s">
        <v>19</v>
      </c>
      <c r="Q19" s="30" t="s">
        <v>25</v>
      </c>
      <c r="R19" s="30" t="s">
        <v>26</v>
      </c>
      <c r="V19" s="28"/>
      <c r="W19" s="28" t="s">
        <v>128</v>
      </c>
      <c r="X19" s="28" t="s">
        <v>129</v>
      </c>
      <c r="Y19" s="28"/>
      <c r="AA19" s="29">
        <v>185</v>
      </c>
      <c r="AB19" s="31">
        <v>0</v>
      </c>
      <c r="AC19" s="31">
        <v>0</v>
      </c>
      <c r="AD19" s="34">
        <v>0</v>
      </c>
      <c r="AS19" s="66"/>
    </row>
    <row r="20" spans="1:45" s="29" customFormat="1" ht="15.75" customHeight="1">
      <c r="A20" s="60"/>
      <c r="B20" s="83" t="s">
        <v>121</v>
      </c>
      <c r="C20" s="97">
        <v>0</v>
      </c>
      <c r="D20" s="218"/>
      <c r="E20" s="100"/>
      <c r="F20" s="72" t="s">
        <v>117</v>
      </c>
      <c r="G20" s="82">
        <f>ROUND(G$7*6.2/100,2)</f>
        <v>0</v>
      </c>
      <c r="H20" s="66"/>
      <c r="I20" s="33">
        <f>IF(C$11="b",26,IF(C$11="M",12,1))</f>
        <v>26</v>
      </c>
      <c r="J20" s="84">
        <f t="shared" si="0"/>
        <v>615350</v>
      </c>
      <c r="K20" s="84">
        <f t="shared" si="1"/>
        <v>615350</v>
      </c>
      <c r="L20" s="84">
        <f t="shared" si="1"/>
        <v>183647.25</v>
      </c>
      <c r="M20" s="29">
        <f t="shared" si="1"/>
        <v>0.37</v>
      </c>
      <c r="N20" s="31">
        <v>0</v>
      </c>
      <c r="O20" s="31">
        <v>0</v>
      </c>
      <c r="P20" s="34">
        <v>0</v>
      </c>
      <c r="Q20" s="30" t="s">
        <v>28</v>
      </c>
      <c r="R20" s="30" t="s">
        <v>29</v>
      </c>
      <c r="V20" s="28"/>
      <c r="W20" s="29" t="s">
        <v>130</v>
      </c>
      <c r="X20" s="101">
        <v>0</v>
      </c>
      <c r="Y20" s="28"/>
      <c r="AA20" s="29">
        <v>90</v>
      </c>
      <c r="AB20" s="18">
        <v>16300</v>
      </c>
      <c r="AC20" s="18">
        <v>0</v>
      </c>
      <c r="AD20" s="34">
        <v>0.1</v>
      </c>
      <c r="AS20" s="66"/>
    </row>
    <row r="21" spans="1:45" s="29" customFormat="1" ht="15.75" customHeight="1">
      <c r="A21" s="60"/>
      <c r="B21" s="194" t="s">
        <v>22</v>
      </c>
      <c r="C21" s="194"/>
      <c r="D21" s="218"/>
      <c r="E21" s="71"/>
      <c r="F21" s="72" t="s">
        <v>118</v>
      </c>
      <c r="G21" s="102">
        <f>ROUND(G$7*1.45/100,2)</f>
        <v>0</v>
      </c>
      <c r="H21" s="66"/>
      <c r="I21" s="29">
        <f>(I19*I20)+C8-C9</f>
        <v>-8600</v>
      </c>
      <c r="J21" s="84">
        <f t="shared" si="0"/>
        <v>9999999999</v>
      </c>
      <c r="K21" s="84">
        <f t="shared" si="1"/>
        <v>9999999999</v>
      </c>
      <c r="L21" s="84">
        <f t="shared" si="1"/>
        <v>9999999999</v>
      </c>
      <c r="M21" s="29">
        <f t="shared" si="1"/>
        <v>1</v>
      </c>
      <c r="N21" s="18">
        <v>14600</v>
      </c>
      <c r="O21" s="18">
        <v>0</v>
      </c>
      <c r="P21" s="34">
        <v>0.1</v>
      </c>
      <c r="R21" s="30" t="s">
        <v>30</v>
      </c>
      <c r="V21" s="28"/>
      <c r="W21" s="29" t="s">
        <v>131</v>
      </c>
      <c r="X21" s="101">
        <v>0</v>
      </c>
      <c r="Y21" s="28"/>
      <c r="AB21" s="18">
        <v>39500</v>
      </c>
      <c r="AC21" s="18">
        <v>2320</v>
      </c>
      <c r="AD21" s="34">
        <v>0.12</v>
      </c>
    </row>
    <row r="22" spans="1:45" s="29" customFormat="1" ht="15.75" customHeight="1" thickBot="1">
      <c r="A22" s="60"/>
      <c r="B22" s="83" t="s">
        <v>139</v>
      </c>
      <c r="C22" s="103" t="s">
        <v>173</v>
      </c>
      <c r="D22" s="218"/>
      <c r="E22" s="104"/>
      <c r="F22" s="105" t="s">
        <v>135</v>
      </c>
      <c r="G22" s="106">
        <f>+(G13*VLOOKUP(C24,W20:X27,2,0))</f>
        <v>0</v>
      </c>
      <c r="H22" s="66"/>
      <c r="J22" s="84">
        <f t="shared" si="0"/>
        <v>9999999999</v>
      </c>
      <c r="K22" s="84">
        <f t="shared" si="1"/>
        <v>9999999999</v>
      </c>
      <c r="L22" s="84">
        <f t="shared" si="1"/>
        <v>9999999999</v>
      </c>
      <c r="M22" s="29">
        <f t="shared" si="1"/>
        <v>1</v>
      </c>
      <c r="N22" s="18">
        <v>26200</v>
      </c>
      <c r="O22" s="18">
        <v>1160</v>
      </c>
      <c r="P22" s="34">
        <v>0.12</v>
      </c>
      <c r="V22" s="28"/>
      <c r="W22" s="29" t="s">
        <v>132</v>
      </c>
      <c r="X22" s="101">
        <v>0</v>
      </c>
      <c r="Y22" s="28"/>
      <c r="AB22" s="18">
        <v>110600</v>
      </c>
      <c r="AC22" s="18">
        <v>10852</v>
      </c>
      <c r="AD22" s="34">
        <v>0.22</v>
      </c>
    </row>
    <row r="23" spans="1:45" s="29" customFormat="1" ht="15.75" customHeight="1">
      <c r="A23" s="60"/>
      <c r="B23" s="107" t="s">
        <v>168</v>
      </c>
      <c r="C23" s="108" t="s">
        <v>123</v>
      </c>
      <c r="D23" s="218"/>
      <c r="E23" s="202" t="s">
        <v>164</v>
      </c>
      <c r="F23" s="202"/>
      <c r="G23" s="203"/>
      <c r="H23" s="109"/>
      <c r="I23" s="110"/>
      <c r="J23" s="208" t="s">
        <v>108</v>
      </c>
      <c r="K23" s="209"/>
      <c r="L23" s="111"/>
      <c r="N23" s="18">
        <v>61750</v>
      </c>
      <c r="O23" s="18">
        <v>5426</v>
      </c>
      <c r="P23" s="34">
        <v>0.22</v>
      </c>
      <c r="Q23" s="30" t="s">
        <v>32</v>
      </c>
      <c r="R23" s="30" t="s">
        <v>33</v>
      </c>
      <c r="V23" s="28"/>
      <c r="W23" s="29" t="s">
        <v>133</v>
      </c>
      <c r="X23" s="101">
        <v>0</v>
      </c>
      <c r="Y23" s="28"/>
      <c r="AB23" s="18">
        <v>217350</v>
      </c>
      <c r="AC23" s="18">
        <v>34337</v>
      </c>
      <c r="AD23" s="34">
        <v>0.24</v>
      </c>
    </row>
    <row r="24" spans="1:45" s="29" customFormat="1" ht="15.75" customHeight="1">
      <c r="A24" s="60"/>
      <c r="B24" s="112" t="s">
        <v>166</v>
      </c>
      <c r="C24" s="108" t="s">
        <v>119</v>
      </c>
      <c r="D24" s="218"/>
      <c r="E24" s="212"/>
      <c r="F24" s="213"/>
      <c r="G24" s="214"/>
      <c r="H24" s="113"/>
      <c r="I24" s="114"/>
      <c r="J24" s="115" t="s">
        <v>109</v>
      </c>
      <c r="K24" s="116">
        <v>435</v>
      </c>
      <c r="L24" s="117" t="s">
        <v>110</v>
      </c>
      <c r="N24" s="18">
        <v>115125</v>
      </c>
      <c r="O24" s="18">
        <v>17168.5</v>
      </c>
      <c r="P24" s="34">
        <v>0.24</v>
      </c>
      <c r="Q24" s="30" t="s">
        <v>25</v>
      </c>
      <c r="R24" s="30" t="s">
        <v>34</v>
      </c>
      <c r="V24" s="28"/>
      <c r="W24" s="29" t="s">
        <v>140</v>
      </c>
      <c r="X24" s="101">
        <v>0</v>
      </c>
      <c r="Y24" s="28"/>
      <c r="AB24" s="18">
        <v>400200</v>
      </c>
      <c r="AC24" s="18">
        <v>78221</v>
      </c>
      <c r="AD24" s="34">
        <v>0.32</v>
      </c>
    </row>
    <row r="25" spans="1:45" s="29" customFormat="1" ht="15.75" customHeight="1">
      <c r="A25" s="60"/>
      <c r="B25" s="83" t="s">
        <v>138</v>
      </c>
      <c r="C25" s="118">
        <f>IF(C24="S",4.8%,IF(C24="J1",9%,IF(C24="J2",7%,IF(C24="J3",5%,IF(C24="J4",1%,IF(C24="J5",10%,IF(C24="P",16%,IF(C24="T",9.78%,"ERROR"))))))))</f>
        <v>4.8000000000000001E-2</v>
      </c>
      <c r="D25" s="218"/>
      <c r="E25" s="188"/>
      <c r="F25" s="189"/>
      <c r="G25" s="215"/>
      <c r="H25" s="113"/>
      <c r="I25" s="114"/>
      <c r="J25" s="115" t="s">
        <v>111</v>
      </c>
      <c r="K25" s="116">
        <v>942.5</v>
      </c>
      <c r="L25" s="117" t="s">
        <v>110</v>
      </c>
      <c r="N25" s="18">
        <v>206550</v>
      </c>
      <c r="O25" s="18">
        <v>39110.5</v>
      </c>
      <c r="P25" s="34">
        <v>0.32</v>
      </c>
      <c r="Q25" s="30" t="s">
        <v>35</v>
      </c>
      <c r="V25" s="28"/>
      <c r="W25" s="29" t="s">
        <v>134</v>
      </c>
      <c r="X25" s="101">
        <v>1</v>
      </c>
      <c r="Y25" s="28"/>
      <c r="AB25" s="18">
        <v>503750</v>
      </c>
      <c r="AC25" s="18">
        <v>111357</v>
      </c>
      <c r="AD25" s="34">
        <v>0.35</v>
      </c>
    </row>
    <row r="26" spans="1:45" s="29" customFormat="1" ht="15.75" customHeight="1">
      <c r="A26" s="60"/>
      <c r="B26" s="83" t="s">
        <v>174</v>
      </c>
      <c r="C26" s="97">
        <v>0</v>
      </c>
      <c r="D26" s="218"/>
      <c r="E26" s="188"/>
      <c r="F26" s="189"/>
      <c r="G26" s="215"/>
      <c r="H26" s="113"/>
      <c r="I26" s="114"/>
      <c r="J26" s="119"/>
      <c r="K26" s="119"/>
      <c r="L26" s="117"/>
      <c r="N26" s="18">
        <v>258325</v>
      </c>
      <c r="O26" s="18">
        <v>55678.5</v>
      </c>
      <c r="P26" s="34">
        <v>0.35</v>
      </c>
      <c r="Q26" s="30" t="s">
        <v>36</v>
      </c>
      <c r="R26" s="30" t="s">
        <v>37</v>
      </c>
      <c r="W26" s="29" t="s">
        <v>119</v>
      </c>
      <c r="X26" s="101">
        <v>1.56</v>
      </c>
      <c r="AB26" s="18">
        <v>747500</v>
      </c>
      <c r="AC26" s="18">
        <v>196669.5</v>
      </c>
      <c r="AD26" s="34">
        <v>0.37</v>
      </c>
    </row>
    <row r="27" spans="1:45" s="29" customFormat="1" ht="15.75" customHeight="1">
      <c r="A27" s="60"/>
      <c r="B27" s="198" t="s">
        <v>38</v>
      </c>
      <c r="C27" s="198"/>
      <c r="D27" s="218"/>
      <c r="E27" s="188"/>
      <c r="F27" s="189"/>
      <c r="G27" s="215"/>
      <c r="H27" s="113"/>
      <c r="I27" s="114"/>
      <c r="J27" s="210" t="s">
        <v>112</v>
      </c>
      <c r="K27" s="211"/>
      <c r="L27" s="117"/>
      <c r="N27" s="18">
        <v>380200</v>
      </c>
      <c r="O27" s="18">
        <v>98334.75</v>
      </c>
      <c r="P27" s="34">
        <v>0.37</v>
      </c>
      <c r="R27" s="30" t="s">
        <v>39</v>
      </c>
      <c r="W27" s="29" t="s">
        <v>124</v>
      </c>
      <c r="X27" s="101">
        <v>1.01</v>
      </c>
      <c r="AB27" s="31">
        <v>9999999999</v>
      </c>
      <c r="AC27" s="31">
        <v>9999999999</v>
      </c>
      <c r="AD27" s="34">
        <v>1</v>
      </c>
    </row>
    <row r="28" spans="1:45" s="29" customFormat="1" ht="15.75" customHeight="1">
      <c r="A28" s="60"/>
      <c r="B28" s="196" t="s">
        <v>147</v>
      </c>
      <c r="C28" s="197"/>
      <c r="D28" s="218"/>
      <c r="E28" s="188"/>
      <c r="F28" s="189"/>
      <c r="G28" s="215"/>
      <c r="H28" s="120">
        <v>788.97</v>
      </c>
      <c r="I28" s="119"/>
      <c r="J28" s="115" t="s">
        <v>109</v>
      </c>
      <c r="K28" s="116">
        <v>580</v>
      </c>
      <c r="L28" s="117" t="s">
        <v>110</v>
      </c>
      <c r="N28" s="31">
        <v>9999999999</v>
      </c>
      <c r="O28" s="31">
        <v>9999999999</v>
      </c>
      <c r="P28" s="34">
        <v>1</v>
      </c>
      <c r="AB28" s="31">
        <v>9999999999</v>
      </c>
      <c r="AC28" s="31">
        <v>9999999999</v>
      </c>
      <c r="AD28" s="34">
        <v>1</v>
      </c>
    </row>
    <row r="29" spans="1:45" s="29" customFormat="1" ht="15.75" customHeight="1">
      <c r="A29" s="60"/>
      <c r="B29" s="83" t="s">
        <v>141</v>
      </c>
      <c r="C29" s="97">
        <v>0</v>
      </c>
      <c r="D29" s="218"/>
      <c r="E29" s="188"/>
      <c r="F29" s="189"/>
      <c r="G29" s="215"/>
      <c r="H29" s="121"/>
      <c r="I29" s="119"/>
      <c r="J29" s="115" t="s">
        <v>111</v>
      </c>
      <c r="K29" s="116">
        <v>1256.6600000000001</v>
      </c>
      <c r="L29" s="117" t="s">
        <v>110</v>
      </c>
      <c r="N29" s="31">
        <v>9999999999</v>
      </c>
      <c r="O29" s="31">
        <v>9999999999</v>
      </c>
      <c r="P29" s="34">
        <v>1</v>
      </c>
      <c r="Q29" s="30" t="s">
        <v>40</v>
      </c>
      <c r="R29" s="30" t="s">
        <v>41</v>
      </c>
      <c r="AB29" s="93"/>
      <c r="AC29" s="93"/>
      <c r="AD29" s="93"/>
    </row>
    <row r="30" spans="1:45" s="29" customFormat="1" ht="15.75" customHeight="1">
      <c r="A30" s="60"/>
      <c r="B30" s="83" t="s">
        <v>142</v>
      </c>
      <c r="C30" s="97">
        <v>0</v>
      </c>
      <c r="D30" s="218"/>
      <c r="E30" s="188"/>
      <c r="F30" s="189"/>
      <c r="G30" s="215"/>
      <c r="H30" s="121">
        <f>IF(G29-K24&lt;=0,0,G29)</f>
        <v>0</v>
      </c>
      <c r="I30" s="119"/>
      <c r="J30" s="114"/>
      <c r="K30" s="114"/>
      <c r="L30" s="117"/>
      <c r="N30" s="31"/>
      <c r="O30" s="31"/>
      <c r="P30" s="34"/>
      <c r="R30" s="30" t="s">
        <v>42</v>
      </c>
      <c r="AB30" s="96" t="s">
        <v>1</v>
      </c>
      <c r="AC30" s="96" t="s">
        <v>104</v>
      </c>
      <c r="AD30" s="75" t="s">
        <v>159</v>
      </c>
    </row>
    <row r="31" spans="1:45" s="29" customFormat="1" ht="15.75" customHeight="1">
      <c r="A31" s="60"/>
      <c r="B31" s="83" t="s">
        <v>143</v>
      </c>
      <c r="C31" s="97">
        <v>0</v>
      </c>
      <c r="D31" s="218"/>
      <c r="E31" s="188"/>
      <c r="F31" s="189"/>
      <c r="G31" s="215"/>
      <c r="H31" s="121">
        <f>IF(G29-K28&gt;=0,0.25*G29,H30-K24)</f>
        <v>-435</v>
      </c>
      <c r="I31" s="119">
        <f>IF(H30&lt;ABS(H31),H30,H31)</f>
        <v>0</v>
      </c>
      <c r="J31" s="114"/>
      <c r="K31" s="114"/>
      <c r="L31" s="117"/>
      <c r="N31" s="96" t="s">
        <v>1</v>
      </c>
      <c r="O31" s="96" t="s">
        <v>104</v>
      </c>
      <c r="P31" s="75" t="s">
        <v>159</v>
      </c>
      <c r="R31" s="30" t="s">
        <v>43</v>
      </c>
      <c r="AB31" s="31">
        <v>0</v>
      </c>
      <c r="AC31" s="31">
        <v>0</v>
      </c>
      <c r="AD31" s="34">
        <v>0</v>
      </c>
    </row>
    <row r="32" spans="1:45" s="29" customFormat="1" ht="15.75" customHeight="1">
      <c r="A32" s="60"/>
      <c r="B32" s="83" t="s">
        <v>144</v>
      </c>
      <c r="C32" s="97">
        <v>0</v>
      </c>
      <c r="D32" s="218"/>
      <c r="E32" s="188"/>
      <c r="F32" s="189"/>
      <c r="G32" s="215"/>
      <c r="H32" s="122">
        <f>IF(G29-K28&gt;=0,0.15*G29,H30-K24)</f>
        <v>-435</v>
      </c>
      <c r="I32" s="119"/>
      <c r="J32" s="114"/>
      <c r="K32" s="114"/>
      <c r="L32" s="117"/>
      <c r="N32" s="31">
        <v>0</v>
      </c>
      <c r="O32" s="31">
        <v>0</v>
      </c>
      <c r="P32" s="34">
        <v>0</v>
      </c>
      <c r="AB32" s="18">
        <v>13300</v>
      </c>
      <c r="AC32" s="18">
        <v>0</v>
      </c>
      <c r="AD32" s="34">
        <v>0.1</v>
      </c>
    </row>
    <row r="33" spans="1:30" s="29" customFormat="1" ht="15.75" customHeight="1">
      <c r="A33" s="60"/>
      <c r="B33" s="83" t="s">
        <v>146</v>
      </c>
      <c r="C33" s="97">
        <v>0</v>
      </c>
      <c r="D33" s="218"/>
      <c r="E33" s="188"/>
      <c r="F33" s="189"/>
      <c r="G33" s="215"/>
      <c r="H33" s="122">
        <f>IF(G29-K28&gt;=0,H30-K24,0.15*G29)</f>
        <v>0</v>
      </c>
      <c r="I33" s="123">
        <f>MIN(H30,H33,ABS(H32))</f>
        <v>0</v>
      </c>
      <c r="J33" s="114"/>
      <c r="K33" s="114"/>
      <c r="L33" s="117"/>
      <c r="N33" s="18">
        <v>10950</v>
      </c>
      <c r="O33" s="18">
        <v>0</v>
      </c>
      <c r="P33" s="34">
        <v>0.1</v>
      </c>
      <c r="Q33" s="30" t="s">
        <v>44</v>
      </c>
      <c r="R33" s="30" t="s">
        <v>45</v>
      </c>
      <c r="AB33" s="18">
        <v>29850</v>
      </c>
      <c r="AC33" s="18">
        <v>1655</v>
      </c>
      <c r="AD33" s="34">
        <v>0.12</v>
      </c>
    </row>
    <row r="34" spans="1:30" s="29" customFormat="1" ht="15.75" customHeight="1">
      <c r="A34" s="60"/>
      <c r="B34" s="83" t="s">
        <v>145</v>
      </c>
      <c r="C34" s="97">
        <v>0</v>
      </c>
      <c r="D34" s="218"/>
      <c r="E34" s="188"/>
      <c r="F34" s="189"/>
      <c r="G34" s="215"/>
      <c r="H34" s="121"/>
      <c r="I34" s="119"/>
      <c r="J34" s="114"/>
      <c r="K34" s="114"/>
      <c r="L34" s="117"/>
      <c r="N34" s="18">
        <v>19225</v>
      </c>
      <c r="O34" s="18">
        <v>827.5</v>
      </c>
      <c r="P34" s="34">
        <v>0.12</v>
      </c>
      <c r="R34" s="30" t="s">
        <v>46</v>
      </c>
      <c r="AB34" s="18">
        <v>76400</v>
      </c>
      <c r="AC34" s="18">
        <v>7241</v>
      </c>
      <c r="AD34" s="34">
        <v>0.22</v>
      </c>
    </row>
    <row r="35" spans="1:30" s="29" customFormat="1" ht="15.75" customHeight="1">
      <c r="A35" s="60"/>
      <c r="B35" s="83" t="s">
        <v>175</v>
      </c>
      <c r="C35" s="97">
        <v>0</v>
      </c>
      <c r="D35" s="218"/>
      <c r="E35" s="188"/>
      <c r="F35" s="189"/>
      <c r="G35" s="215"/>
      <c r="H35" s="121">
        <f>IF(G29-K25&lt;=0,0,G29)</f>
        <v>0</v>
      </c>
      <c r="I35" s="119"/>
      <c r="J35" s="114"/>
      <c r="K35" s="114"/>
      <c r="L35" s="117"/>
      <c r="N35" s="18">
        <v>42500</v>
      </c>
      <c r="O35" s="18">
        <v>3620.5</v>
      </c>
      <c r="P35" s="34">
        <v>0.22</v>
      </c>
      <c r="AB35" s="18">
        <v>113800</v>
      </c>
      <c r="AC35" s="18">
        <v>15469</v>
      </c>
      <c r="AD35" s="34">
        <v>0.24</v>
      </c>
    </row>
    <row r="36" spans="1:30" s="29" customFormat="1" ht="15.75" customHeight="1">
      <c r="A36" s="60"/>
      <c r="B36" s="83" t="s">
        <v>176</v>
      </c>
      <c r="C36" s="124">
        <v>0</v>
      </c>
      <c r="D36" s="218"/>
      <c r="E36" s="188"/>
      <c r="F36" s="189"/>
      <c r="G36" s="215"/>
      <c r="H36" s="121">
        <f>IF(G29-K29&gt;=0,0.25*G29,H35-K25)</f>
        <v>-942.5</v>
      </c>
      <c r="I36" s="119">
        <f>IF(H35&lt;ABS(H36),H35,H36)</f>
        <v>0</v>
      </c>
      <c r="J36" s="119"/>
      <c r="K36" s="119"/>
      <c r="L36" s="117"/>
      <c r="N36" s="18">
        <v>61200</v>
      </c>
      <c r="O36" s="18">
        <v>7734.5</v>
      </c>
      <c r="P36" s="34">
        <v>0.24</v>
      </c>
      <c r="Q36" s="30" t="s">
        <v>48</v>
      </c>
      <c r="R36" s="30" t="s">
        <v>49</v>
      </c>
      <c r="AB36" s="18">
        <v>205250</v>
      </c>
      <c r="AC36" s="18">
        <v>37417</v>
      </c>
      <c r="AD36" s="34">
        <v>0.32</v>
      </c>
    </row>
    <row r="37" spans="1:30" s="29" customFormat="1" ht="15.75" customHeight="1">
      <c r="A37" s="60"/>
      <c r="B37" s="194" t="s">
        <v>148</v>
      </c>
      <c r="C37" s="194"/>
      <c r="D37" s="218"/>
      <c r="E37" s="188"/>
      <c r="F37" s="189"/>
      <c r="G37" s="215"/>
      <c r="H37" s="122">
        <f>IF(G29-K29&gt;=0,0.15*G29,H35-K25)</f>
        <v>-942.5</v>
      </c>
      <c r="I37" s="119"/>
      <c r="J37" s="119"/>
      <c r="K37" s="119"/>
      <c r="L37" s="117"/>
      <c r="N37" s="18">
        <v>106925</v>
      </c>
      <c r="O37" s="18">
        <v>18708.5</v>
      </c>
      <c r="P37" s="34">
        <v>0.32</v>
      </c>
      <c r="R37" s="30" t="s">
        <v>50</v>
      </c>
      <c r="AB37" s="18">
        <v>257000</v>
      </c>
      <c r="AC37" s="18">
        <v>53977</v>
      </c>
      <c r="AD37" s="34">
        <v>0.35</v>
      </c>
    </row>
    <row r="38" spans="1:30" s="29" customFormat="1" ht="15.75" customHeight="1" thickBot="1">
      <c r="A38" s="60"/>
      <c r="B38" s="125" t="s">
        <v>113</v>
      </c>
      <c r="C38" s="126">
        <v>0</v>
      </c>
      <c r="D38" s="218"/>
      <c r="E38" s="188"/>
      <c r="F38" s="189"/>
      <c r="G38" s="215"/>
      <c r="H38" s="127">
        <f>IF(G29-K29&gt;=0,H35-K25,0.15*G29)</f>
        <v>0</v>
      </c>
      <c r="I38" s="128">
        <f>MIN(ABS(H37),H38,H35)</f>
        <v>0</v>
      </c>
      <c r="J38" s="129"/>
      <c r="K38" s="129"/>
      <c r="L38" s="130"/>
      <c r="N38" s="18">
        <v>132800</v>
      </c>
      <c r="O38" s="18">
        <v>26988.5</v>
      </c>
      <c r="P38" s="34">
        <v>0.35</v>
      </c>
      <c r="AB38" s="18">
        <v>622650</v>
      </c>
      <c r="AC38" s="18">
        <v>181954.5</v>
      </c>
      <c r="AD38" s="34">
        <v>0.37</v>
      </c>
    </row>
    <row r="39" spans="1:30" s="29" customFormat="1" ht="15.75" customHeight="1">
      <c r="A39" s="60"/>
      <c r="B39" s="131" t="s">
        <v>54</v>
      </c>
      <c r="C39" s="97">
        <v>0</v>
      </c>
      <c r="D39" s="218"/>
      <c r="E39" s="188"/>
      <c r="F39" s="189"/>
      <c r="G39" s="215"/>
      <c r="H39" s="66"/>
      <c r="N39" s="18">
        <v>315625</v>
      </c>
      <c r="O39" s="18">
        <v>90977.25</v>
      </c>
      <c r="P39" s="34">
        <v>0.37</v>
      </c>
      <c r="Q39" s="30" t="s">
        <v>51</v>
      </c>
      <c r="R39" s="30" t="s">
        <v>52</v>
      </c>
      <c r="AB39" s="31">
        <v>9999999999</v>
      </c>
      <c r="AC39" s="31">
        <v>9999999999</v>
      </c>
      <c r="AD39" s="34">
        <v>1</v>
      </c>
    </row>
    <row r="40" spans="1:30" s="29" customFormat="1" ht="15.75" customHeight="1">
      <c r="A40" s="60"/>
      <c r="B40" s="131" t="s">
        <v>54</v>
      </c>
      <c r="C40" s="97">
        <v>0</v>
      </c>
      <c r="D40" s="218"/>
      <c r="E40" s="188"/>
      <c r="F40" s="189"/>
      <c r="G40" s="215"/>
      <c r="H40" s="66"/>
      <c r="N40" s="31">
        <v>9999999999</v>
      </c>
      <c r="O40" s="31">
        <v>9999999999</v>
      </c>
      <c r="P40" s="34">
        <v>1</v>
      </c>
      <c r="R40" s="30" t="s">
        <v>53</v>
      </c>
      <c r="AB40" s="31">
        <v>9999999999</v>
      </c>
      <c r="AC40" s="31">
        <v>9999999999</v>
      </c>
      <c r="AD40" s="34">
        <v>1</v>
      </c>
    </row>
    <row r="41" spans="1:30" s="29" customFormat="1" ht="15.75" customHeight="1">
      <c r="A41" s="60"/>
      <c r="B41" s="131" t="s">
        <v>54</v>
      </c>
      <c r="C41" s="97">
        <v>0</v>
      </c>
      <c r="D41" s="218"/>
      <c r="E41" s="188"/>
      <c r="F41" s="189"/>
      <c r="G41" s="215"/>
      <c r="H41" s="66"/>
      <c r="N41" s="31">
        <v>9999999999</v>
      </c>
      <c r="O41" s="31">
        <v>9999999999</v>
      </c>
      <c r="P41" s="34">
        <v>1</v>
      </c>
      <c r="R41" s="30" t="s">
        <v>55</v>
      </c>
    </row>
    <row r="42" spans="1:30" s="29" customFormat="1" ht="15.75" customHeight="1">
      <c r="A42" s="60"/>
      <c r="B42" s="131" t="s">
        <v>54</v>
      </c>
      <c r="C42" s="97">
        <v>0</v>
      </c>
      <c r="D42" s="218"/>
      <c r="E42" s="188"/>
      <c r="F42" s="189"/>
      <c r="G42" s="215"/>
      <c r="H42" s="66"/>
      <c r="N42" s="132"/>
      <c r="O42" s="132"/>
      <c r="P42" s="133"/>
      <c r="W42" s="29" t="s">
        <v>122</v>
      </c>
    </row>
    <row r="43" spans="1:30" s="29" customFormat="1" ht="15.75" customHeight="1">
      <c r="A43" s="60"/>
      <c r="B43" s="131" t="s">
        <v>54</v>
      </c>
      <c r="C43" s="97">
        <v>0</v>
      </c>
      <c r="D43" s="218"/>
      <c r="E43" s="188"/>
      <c r="F43" s="189"/>
      <c r="G43" s="215"/>
      <c r="H43" s="66"/>
      <c r="N43" s="132"/>
      <c r="O43" s="132"/>
      <c r="P43" s="133"/>
      <c r="Q43" s="30" t="s">
        <v>56</v>
      </c>
      <c r="R43" s="30" t="s">
        <v>57</v>
      </c>
    </row>
    <row r="44" spans="1:30" s="29" customFormat="1" ht="15.75" customHeight="1" thickBot="1">
      <c r="A44" s="60"/>
      <c r="B44" s="131" t="s">
        <v>54</v>
      </c>
      <c r="C44" s="97">
        <v>0</v>
      </c>
      <c r="D44" s="218"/>
      <c r="E44" s="191"/>
      <c r="F44" s="192"/>
      <c r="G44" s="216"/>
      <c r="H44" s="66"/>
      <c r="I44" s="30" t="s">
        <v>6</v>
      </c>
      <c r="N44" s="96" t="s">
        <v>58</v>
      </c>
      <c r="O44" s="96" t="s">
        <v>104</v>
      </c>
      <c r="P44" s="75" t="s">
        <v>2</v>
      </c>
    </row>
    <row r="45" spans="1:30" s="29" customFormat="1" ht="15.75" customHeight="1" thickBot="1">
      <c r="A45" s="60"/>
      <c r="B45" s="134" t="s">
        <v>54</v>
      </c>
      <c r="C45" s="135">
        <v>0</v>
      </c>
      <c r="D45" s="219"/>
      <c r="E45" s="136"/>
      <c r="F45" s="136"/>
      <c r="G45" s="137"/>
      <c r="H45" s="66"/>
      <c r="I45" s="29">
        <f>IF((C11=I44),2,0)</f>
        <v>0</v>
      </c>
      <c r="J45" s="29">
        <f t="shared" ref="J45:J53" si="2">CHOOSE($I$48+1,N45,N55,N65,N75)</f>
        <v>0</v>
      </c>
      <c r="K45" s="29">
        <f t="shared" ref="K45:M53" si="3">CHOOSE($I$48+1,N45,N55,N65,N75)</f>
        <v>0</v>
      </c>
      <c r="L45" s="29">
        <f t="shared" si="3"/>
        <v>0</v>
      </c>
      <c r="M45" s="138">
        <f t="shared" si="3"/>
        <v>0</v>
      </c>
      <c r="N45" s="31">
        <v>0</v>
      </c>
      <c r="O45" s="31">
        <v>0</v>
      </c>
      <c r="P45" s="34">
        <v>0</v>
      </c>
      <c r="Q45" s="30" t="s">
        <v>59</v>
      </c>
      <c r="R45" s="30" t="s">
        <v>60</v>
      </c>
    </row>
    <row r="46" spans="1:30" s="29" customFormat="1" ht="15.75" customHeight="1">
      <c r="D46" s="30"/>
      <c r="H46" s="66"/>
      <c r="I46" s="30" t="s">
        <v>6</v>
      </c>
      <c r="J46" s="29">
        <f>CHOOSE($I$48+1,N46,N56,N66,N76)</f>
        <v>3210</v>
      </c>
      <c r="K46" s="29">
        <f>CHOOSE($I$48+1,N46,N56,N66,N76)</f>
        <v>3210</v>
      </c>
      <c r="L46" s="29">
        <f>CHOOSE($I$48+1,O46,O56,O66,O76)</f>
        <v>0</v>
      </c>
      <c r="M46" s="138">
        <f>CHOOSE($I$48+1,P46,P56,P66,P76)</f>
        <v>2.2599999999999999E-2</v>
      </c>
      <c r="N46" s="18">
        <v>3210</v>
      </c>
      <c r="O46" s="18">
        <v>0</v>
      </c>
      <c r="P46" s="22">
        <v>2.2599999999999999E-2</v>
      </c>
    </row>
    <row r="47" spans="1:30" s="29" customFormat="1" ht="15.75" customHeight="1">
      <c r="D47" s="30"/>
      <c r="I47" s="29">
        <f>IF((C13=I46),1,0)</f>
        <v>0</v>
      </c>
      <c r="J47" s="29">
        <f t="shared" si="2"/>
        <v>6290</v>
      </c>
      <c r="K47" s="29">
        <f t="shared" si="3"/>
        <v>6290</v>
      </c>
      <c r="L47" s="29">
        <f t="shared" si="3"/>
        <v>69.61</v>
      </c>
      <c r="M47" s="138">
        <f t="shared" si="3"/>
        <v>3.2199999999999999E-2</v>
      </c>
      <c r="N47" s="18">
        <v>6290</v>
      </c>
      <c r="O47" s="18">
        <v>69.61</v>
      </c>
      <c r="P47" s="22">
        <v>3.2199999999999999E-2</v>
      </c>
      <c r="Q47" s="30" t="s">
        <v>61</v>
      </c>
      <c r="R47" s="30" t="s">
        <v>107</v>
      </c>
    </row>
    <row r="48" spans="1:30" s="29" customFormat="1" ht="15.75" customHeight="1">
      <c r="D48" s="30"/>
      <c r="I48" s="29">
        <f>I47</f>
        <v>0</v>
      </c>
      <c r="J48" s="29">
        <f t="shared" si="2"/>
        <v>20440</v>
      </c>
      <c r="K48" s="29">
        <f t="shared" si="3"/>
        <v>20440</v>
      </c>
      <c r="L48" s="29">
        <f t="shared" si="3"/>
        <v>525.24</v>
      </c>
      <c r="M48" s="138">
        <f t="shared" si="3"/>
        <v>4.9099999999999998E-2</v>
      </c>
      <c r="N48" s="18">
        <v>20440</v>
      </c>
      <c r="O48" s="18">
        <v>525.24</v>
      </c>
      <c r="P48" s="22">
        <v>4.9099999999999998E-2</v>
      </c>
      <c r="R48" s="30" t="s">
        <v>62</v>
      </c>
    </row>
    <row r="49" spans="4:24" s="29" customFormat="1" ht="15.75" customHeight="1">
      <c r="D49" s="30"/>
      <c r="I49" s="29">
        <f>O91/I52</f>
        <v>86.538461538461533</v>
      </c>
      <c r="J49" s="29">
        <f t="shared" si="2"/>
        <v>29620</v>
      </c>
      <c r="K49" s="29">
        <f t="shared" si="3"/>
        <v>29620</v>
      </c>
      <c r="L49" s="29">
        <f t="shared" si="3"/>
        <v>975.98</v>
      </c>
      <c r="M49" s="138">
        <f t="shared" si="3"/>
        <v>5.7700000000000001E-2</v>
      </c>
      <c r="N49" s="18">
        <v>29620</v>
      </c>
      <c r="O49" s="18">
        <v>975.98</v>
      </c>
      <c r="P49" s="22">
        <v>5.7700000000000001E-2</v>
      </c>
    </row>
    <row r="50" spans="4:24" s="29" customFormat="1" ht="15.75" customHeight="1">
      <c r="I50" s="37">
        <f>IF(I51&lt;0,0,I53)</f>
        <v>0</v>
      </c>
      <c r="J50" s="29">
        <f t="shared" si="2"/>
        <v>37610</v>
      </c>
      <c r="K50" s="29">
        <f t="shared" si="3"/>
        <v>37610</v>
      </c>
      <c r="L50" s="29">
        <f t="shared" si="3"/>
        <v>1437</v>
      </c>
      <c r="M50" s="138">
        <f t="shared" si="3"/>
        <v>5.9400000000000001E-2</v>
      </c>
      <c r="N50" s="18">
        <v>37610</v>
      </c>
      <c r="O50" s="18">
        <v>1437</v>
      </c>
      <c r="P50" s="22">
        <v>5.9400000000000001E-2</v>
      </c>
      <c r="Q50" s="30" t="s">
        <v>63</v>
      </c>
      <c r="R50" s="30" t="s">
        <v>64</v>
      </c>
    </row>
    <row r="51" spans="4:24" s="29" customFormat="1" ht="15.75" customHeight="1">
      <c r="I51" s="29">
        <f>G5-(I49*C5)-I17-G16-G14</f>
        <v>0</v>
      </c>
      <c r="J51" s="29">
        <f t="shared" si="2"/>
        <v>70630</v>
      </c>
      <c r="K51" s="29">
        <f t="shared" si="3"/>
        <v>70630</v>
      </c>
      <c r="L51" s="29">
        <f t="shared" si="3"/>
        <v>3398.39</v>
      </c>
      <c r="M51" s="138">
        <f t="shared" si="3"/>
        <v>6.0999999999999999E-2</v>
      </c>
      <c r="N51" s="18">
        <v>70630</v>
      </c>
      <c r="O51" s="18">
        <v>3398.39</v>
      </c>
      <c r="P51" s="22">
        <v>6.0999999999999999E-2</v>
      </c>
      <c r="R51" s="30" t="s">
        <v>65</v>
      </c>
    </row>
    <row r="52" spans="4:24" s="29" customFormat="1" ht="15.75" customHeight="1">
      <c r="I52" s="33">
        <f>IF(C$11="b",26,IF(C$11="m",12,1))</f>
        <v>26</v>
      </c>
      <c r="J52" s="29">
        <f t="shared" si="2"/>
        <v>999999999</v>
      </c>
      <c r="K52" s="29">
        <f t="shared" si="3"/>
        <v>999999999</v>
      </c>
      <c r="L52" s="29">
        <f t="shared" si="3"/>
        <v>999999999</v>
      </c>
      <c r="M52" s="138">
        <f t="shared" si="3"/>
        <v>1</v>
      </c>
      <c r="N52" s="31">
        <v>999999999</v>
      </c>
      <c r="O52" s="31">
        <v>999999999</v>
      </c>
      <c r="P52" s="139">
        <v>1</v>
      </c>
      <c r="Q52" s="30" t="s">
        <v>66</v>
      </c>
      <c r="R52" s="30" t="s">
        <v>67</v>
      </c>
    </row>
    <row r="53" spans="4:24" s="29" customFormat="1" ht="15.75" customHeight="1">
      <c r="I53" s="29">
        <f>I51*I52</f>
        <v>0</v>
      </c>
      <c r="J53" s="29">
        <f t="shared" si="2"/>
        <v>999999999</v>
      </c>
      <c r="K53" s="29">
        <f t="shared" si="3"/>
        <v>999999999</v>
      </c>
      <c r="L53" s="29">
        <f t="shared" si="3"/>
        <v>999999999</v>
      </c>
      <c r="M53" s="138">
        <f t="shared" si="3"/>
        <v>1</v>
      </c>
      <c r="N53" s="31">
        <v>999999999</v>
      </c>
      <c r="O53" s="31">
        <v>999999999</v>
      </c>
      <c r="P53" s="93">
        <v>1</v>
      </c>
      <c r="R53" s="30" t="s">
        <v>68</v>
      </c>
    </row>
    <row r="54" spans="4:24" s="29" customFormat="1" ht="15.75" customHeight="1">
      <c r="N54" s="96" t="s">
        <v>69</v>
      </c>
      <c r="O54" s="96" t="s">
        <v>104</v>
      </c>
      <c r="P54" s="74" t="s">
        <v>19</v>
      </c>
      <c r="Q54" s="30" t="s">
        <v>70</v>
      </c>
      <c r="R54" s="30" t="s">
        <v>71</v>
      </c>
    </row>
    <row r="55" spans="4:24" s="29" customFormat="1" ht="15.75" customHeight="1">
      <c r="N55" s="31">
        <v>0</v>
      </c>
      <c r="O55" s="31">
        <v>0</v>
      </c>
      <c r="P55" s="34">
        <v>0</v>
      </c>
      <c r="R55" s="30" t="s">
        <v>72</v>
      </c>
    </row>
    <row r="56" spans="4:24" s="29" customFormat="1" ht="15.75" customHeight="1">
      <c r="I56" s="29">
        <f>C7/I20</f>
        <v>0</v>
      </c>
      <c r="N56" s="18">
        <v>7680</v>
      </c>
      <c r="O56" s="18">
        <v>0</v>
      </c>
      <c r="P56" s="22">
        <v>2.2599999999999999E-2</v>
      </c>
      <c r="Q56" s="30" t="s">
        <v>73</v>
      </c>
      <c r="R56" s="30" t="s">
        <v>74</v>
      </c>
    </row>
    <row r="57" spans="4:24" s="29" customFormat="1" ht="15.75" customHeight="1">
      <c r="I57" s="29">
        <f>ROUND((((((I15-VLOOKUP(I15,J13:M22,2)))*VLOOKUP(I15,J13:M22,4))+VLOOKUP(I15,J13:M22,3))/I20),2)</f>
        <v>0</v>
      </c>
      <c r="N57" s="18">
        <v>12190</v>
      </c>
      <c r="O57" s="18">
        <v>101.93</v>
      </c>
      <c r="P57" s="22">
        <v>3.2199999999999999E-2</v>
      </c>
      <c r="R57" s="30" t="s">
        <v>75</v>
      </c>
    </row>
    <row r="58" spans="4:24" s="29" customFormat="1" ht="15.75" customHeight="1">
      <c r="I58" s="29">
        <f>IF(I57&gt;I56,I56,I57)</f>
        <v>0</v>
      </c>
      <c r="N58" s="18">
        <v>30360</v>
      </c>
      <c r="O58" s="18">
        <v>687</v>
      </c>
      <c r="P58" s="22">
        <v>4.9099999999999998E-2</v>
      </c>
      <c r="Q58" s="30" t="s">
        <v>76</v>
      </c>
      <c r="R58" s="30" t="s">
        <v>77</v>
      </c>
    </row>
    <row r="59" spans="4:24" s="29" customFormat="1" ht="15.75" customHeight="1">
      <c r="N59" s="18">
        <v>47230</v>
      </c>
      <c r="O59" s="18">
        <v>1515.32</v>
      </c>
      <c r="P59" s="22">
        <v>5.7700000000000001E-2</v>
      </c>
      <c r="R59" s="30" t="s">
        <v>72</v>
      </c>
    </row>
    <row r="60" spans="4:24" s="29" customFormat="1" ht="15.75" customHeight="1">
      <c r="N60" s="18">
        <v>58600</v>
      </c>
      <c r="O60" s="18">
        <v>2171.37</v>
      </c>
      <c r="P60" s="22">
        <v>5.9400000000000001E-2</v>
      </c>
      <c r="Q60" s="30" t="s">
        <v>78</v>
      </c>
      <c r="R60" s="30" t="s">
        <v>79</v>
      </c>
    </row>
    <row r="61" spans="4:24" s="29" customFormat="1" ht="15.75" customHeight="1">
      <c r="N61" s="18">
        <v>77710</v>
      </c>
      <c r="O61" s="18">
        <v>3306.5</v>
      </c>
      <c r="P61" s="22">
        <v>6.0999999999999999E-2</v>
      </c>
      <c r="R61" s="30" t="s">
        <v>72</v>
      </c>
    </row>
    <row r="62" spans="4:24" s="29" customFormat="1" ht="15.75" customHeight="1">
      <c r="N62" s="31">
        <v>999999999</v>
      </c>
      <c r="O62" s="31">
        <v>999999999</v>
      </c>
      <c r="P62" s="139">
        <v>1</v>
      </c>
      <c r="Q62" s="30" t="s">
        <v>80</v>
      </c>
      <c r="R62" s="30" t="s">
        <v>81</v>
      </c>
    </row>
    <row r="63" spans="4:24" ht="15.75" customHeight="1">
      <c r="N63" s="31">
        <v>999999999</v>
      </c>
      <c r="O63" s="31">
        <v>999999999</v>
      </c>
      <c r="P63" s="93">
        <v>1</v>
      </c>
      <c r="R63" s="53" t="s">
        <v>82</v>
      </c>
      <c r="W63" s="29"/>
      <c r="X63" s="29"/>
    </row>
    <row r="64" spans="4:24" ht="15.75" customHeight="1">
      <c r="N64" s="140"/>
      <c r="O64" s="140"/>
      <c r="P64" s="141"/>
      <c r="R64" s="53" t="s">
        <v>83</v>
      </c>
      <c r="W64" s="29"/>
      <c r="X64" s="29"/>
    </row>
    <row r="65" spans="14:18" ht="15.75" customHeight="1">
      <c r="N65" s="31"/>
      <c r="O65" s="31"/>
      <c r="P65" s="34"/>
      <c r="R65" s="53" t="s">
        <v>84</v>
      </c>
    </row>
    <row r="66" spans="14:18" ht="15.75" customHeight="1">
      <c r="N66" s="31"/>
      <c r="O66" s="31"/>
      <c r="P66" s="139"/>
      <c r="R66" s="53" t="s">
        <v>85</v>
      </c>
    </row>
    <row r="67" spans="14:18" ht="15.75" customHeight="1">
      <c r="N67" s="31"/>
      <c r="O67" s="31"/>
      <c r="P67" s="139"/>
      <c r="R67" s="53" t="s">
        <v>86</v>
      </c>
    </row>
    <row r="68" spans="14:18" ht="15.75" customHeight="1">
      <c r="N68" s="31"/>
      <c r="O68" s="31"/>
      <c r="P68" s="139"/>
    </row>
    <row r="69" spans="14:18" ht="15.75" customHeight="1">
      <c r="N69" s="31"/>
      <c r="O69" s="31"/>
      <c r="P69" s="139"/>
      <c r="Q69" s="53" t="s">
        <v>87</v>
      </c>
      <c r="R69" s="53" t="s">
        <v>88</v>
      </c>
    </row>
    <row r="70" spans="14:18" ht="15.75" customHeight="1">
      <c r="N70" s="31"/>
      <c r="O70" s="31"/>
      <c r="P70" s="139"/>
    </row>
    <row r="71" spans="14:18" ht="15.75" customHeight="1">
      <c r="N71" s="31"/>
      <c r="O71" s="31"/>
      <c r="P71" s="139"/>
      <c r="Q71" s="53" t="s">
        <v>89</v>
      </c>
      <c r="R71" s="53" t="s">
        <v>90</v>
      </c>
    </row>
    <row r="72" spans="14:18" ht="15.75" customHeight="1">
      <c r="N72" s="31"/>
      <c r="O72" s="31"/>
      <c r="P72" s="139"/>
    </row>
    <row r="73" spans="14:18" ht="15.75" customHeight="1">
      <c r="N73" s="31"/>
      <c r="O73" s="31"/>
      <c r="P73" s="93"/>
      <c r="Q73" s="28" t="s">
        <v>95</v>
      </c>
      <c r="R73" s="28" t="s">
        <v>96</v>
      </c>
    </row>
    <row r="74" spans="14:18" ht="15.75" customHeight="1">
      <c r="N74" s="140"/>
      <c r="O74" s="140"/>
      <c r="P74" s="141"/>
      <c r="R74" s="28" t="s">
        <v>97</v>
      </c>
    </row>
    <row r="75" spans="14:18" ht="15.75" customHeight="1">
      <c r="N75" s="31"/>
      <c r="O75" s="31"/>
      <c r="P75" s="34"/>
    </row>
    <row r="76" spans="14:18" ht="15.75" customHeight="1">
      <c r="N76" s="31"/>
      <c r="O76" s="31"/>
      <c r="P76" s="139"/>
      <c r="Q76" s="28" t="s">
        <v>98</v>
      </c>
      <c r="R76" s="28" t="s">
        <v>99</v>
      </c>
    </row>
    <row r="77" spans="14:18" ht="15.75" customHeight="1">
      <c r="N77" s="31"/>
      <c r="O77" s="31"/>
      <c r="P77" s="139"/>
      <c r="R77" s="28" t="s">
        <v>100</v>
      </c>
    </row>
    <row r="78" spans="14:18" ht="15.75" customHeight="1">
      <c r="N78" s="31"/>
      <c r="O78" s="31"/>
      <c r="P78" s="139"/>
    </row>
    <row r="79" spans="14:18" ht="15.75" customHeight="1">
      <c r="N79" s="31"/>
      <c r="O79" s="31"/>
      <c r="P79" s="139"/>
    </row>
    <row r="80" spans="14:18" ht="15.75" customHeight="1">
      <c r="N80" s="31"/>
      <c r="O80" s="31"/>
      <c r="P80" s="139"/>
    </row>
    <row r="81" spans="14:16" ht="15.75" customHeight="1">
      <c r="N81" s="31"/>
      <c r="O81" s="31"/>
      <c r="P81" s="139"/>
    </row>
    <row r="82" spans="14:16" ht="15.75" customHeight="1">
      <c r="N82" s="31"/>
      <c r="O82" s="31"/>
      <c r="P82" s="139"/>
    </row>
    <row r="83" spans="14:16" ht="15.75" customHeight="1">
      <c r="N83" s="31"/>
      <c r="O83" s="31"/>
      <c r="P83" s="139"/>
    </row>
    <row r="84" spans="14:16" ht="15.75" customHeight="1">
      <c r="N84" s="93"/>
      <c r="O84" s="93"/>
      <c r="P84" s="34"/>
    </row>
    <row r="85" spans="14:16" ht="15.75" customHeight="1">
      <c r="N85" s="93"/>
      <c r="O85" s="93"/>
      <c r="P85" s="34"/>
    </row>
    <row r="86" spans="14:16" ht="15.75" customHeight="1">
      <c r="N86" s="67" t="s">
        <v>91</v>
      </c>
      <c r="O86" s="142" t="s">
        <v>92</v>
      </c>
      <c r="P86" s="34"/>
    </row>
    <row r="87" spans="14:16" ht="15.75" customHeight="1">
      <c r="N87" s="93"/>
      <c r="O87" s="93" t="s">
        <v>157</v>
      </c>
      <c r="P87" s="34" t="s">
        <v>158</v>
      </c>
    </row>
    <row r="88" spans="14:16" ht="15.75" customHeight="1">
      <c r="N88" s="93" t="s">
        <v>105</v>
      </c>
      <c r="O88" s="93">
        <v>12900</v>
      </c>
      <c r="P88" s="34">
        <v>8600</v>
      </c>
    </row>
    <row r="89" spans="14:16" ht="15.75" customHeight="1">
      <c r="N89" s="93" t="s">
        <v>93</v>
      </c>
      <c r="O89" s="93"/>
      <c r="P89" s="34"/>
    </row>
    <row r="90" spans="14:16" ht="15.75" customHeight="1">
      <c r="N90" s="93"/>
      <c r="O90" s="93"/>
      <c r="P90" s="34"/>
    </row>
    <row r="91" spans="14:16" ht="15.75" customHeight="1">
      <c r="N91" s="93" t="s">
        <v>106</v>
      </c>
      <c r="O91" s="93">
        <v>2250</v>
      </c>
      <c r="P91" s="34"/>
    </row>
    <row r="92" spans="14:16" ht="15.75" customHeight="1">
      <c r="N92" s="93" t="s">
        <v>94</v>
      </c>
      <c r="O92" s="93"/>
      <c r="P92" s="93"/>
    </row>
    <row r="93" spans="14:16" ht="15.75" customHeight="1"/>
    <row r="94" spans="14:16" ht="15.75" customHeight="1"/>
    <row r="95" spans="14:16" ht="15.75" customHeight="1"/>
  </sheetData>
  <sheetProtection sheet="1" objects="1" scenarios="1"/>
  <mergeCells count="18">
    <mergeCell ref="J23:K23"/>
    <mergeCell ref="J27:K27"/>
    <mergeCell ref="B37:C37"/>
    <mergeCell ref="B28:C28"/>
    <mergeCell ref="B27:C27"/>
    <mergeCell ref="E24:G44"/>
    <mergeCell ref="D5:D45"/>
    <mergeCell ref="E18:G18"/>
    <mergeCell ref="B1:G1"/>
    <mergeCell ref="B4:G4"/>
    <mergeCell ref="E23:G23"/>
    <mergeCell ref="B21:C21"/>
    <mergeCell ref="B15:C15"/>
    <mergeCell ref="B12:C12"/>
    <mergeCell ref="B10:C10"/>
    <mergeCell ref="C2:F2"/>
    <mergeCell ref="C3:F3"/>
    <mergeCell ref="G2:G3"/>
  </mergeCells>
  <dataValidations count="5">
    <dataValidation type="list" allowBlank="1" showInputMessage="1" showErrorMessage="1" sqref="C22 C6" xr:uid="{79911617-D22D-4C5A-BD07-F24ED6516444}">
      <formula1>"Y,N"</formula1>
    </dataValidation>
    <dataValidation type="list" allowBlank="1" showInputMessage="1" showErrorMessage="1" sqref="C14" xr:uid="{CD3520A9-8967-4A43-9C7C-F59902C09B69}">
      <formula1>"J, A, H"</formula1>
    </dataValidation>
    <dataValidation type="list" allowBlank="1" showInputMessage="1" showErrorMessage="1" sqref="C13" xr:uid="{7BB9CD3A-0D93-4CBC-8ABA-03B6BFAC52E7}">
      <formula1>"S, M"</formula1>
    </dataValidation>
    <dataValidation type="list" allowBlank="1" showInputMessage="1" showErrorMessage="1" sqref="C11" xr:uid="{D298CCCA-3063-48E1-A1A2-BBC9695B88B8}">
      <formula1>"B, M"</formula1>
    </dataValidation>
    <dataValidation type="list" allowBlank="1" showInputMessage="1" showErrorMessage="1" sqref="C24" xr:uid="{7DCEDDAE-CCD0-4C5B-B63C-9F5A7BC44926}">
      <formula1>"S,T,P,J1,J2,J3,J4,J5"</formula1>
    </dataValidation>
  </dataValidations>
  <pageMargins left="0.7" right="0.7" top="0.75" bottom="0.75" header="0.3" footer="0.3"/>
  <pageSetup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Pay Calc Old W4</vt:lpstr>
      <vt:lpstr>Pay Calc New W4</vt:lpstr>
      <vt:lpstr>FEDERAL_J_Single__A_Married__H_HOH</vt:lpstr>
      <vt:lpstr>GRW</vt:lpstr>
      <vt:lpstr>LookupRetirement</vt:lpstr>
      <vt:lpstr>'Pay Calc New W4'!Print_Area</vt:lpstr>
      <vt:lpstr>'Pay Calc Old W4'!Print_Area</vt:lpstr>
      <vt:lpstr>Print_Area_MI</vt:lpstr>
      <vt:lpstr>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Net Pay Computation</dc:title>
  <dc:creator>Preferred Customer</dc:creator>
  <cp:lastModifiedBy>Kaup, Jareth J</cp:lastModifiedBy>
  <cp:lastPrinted>2022-12-27T22:51:51Z</cp:lastPrinted>
  <dcterms:created xsi:type="dcterms:W3CDTF">1997-11-14T16:41:47Z</dcterms:created>
  <dcterms:modified xsi:type="dcterms:W3CDTF">2024-01-10T17:35:12Z</dcterms:modified>
</cp:coreProperties>
</file>